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ARCHIVO PROFESIONAL\1- PROGRAMA RIESGO CARDIOVASCULAR\. AFRICA\"/>
    </mc:Choice>
  </mc:AlternateContent>
  <xr:revisionPtr revIDLastSave="0" documentId="13_ncr:1_{0874648C-4ED3-4AC8-93AD-135A905DF558}" xr6:coauthVersionLast="47" xr6:coauthVersionMax="47" xr10:uidLastSave="{00000000-0000-0000-0000-000000000000}"/>
  <bookViews>
    <workbookView showSheetTabs="0" xWindow="-118" yWindow="-118" windowWidth="25370" windowHeight="13667" tabRatio="459" xr2:uid="{ECB71A15-3ED0-41E4-B04F-53599548924F}"/>
  </bookViews>
  <sheets>
    <sheet name="INICIO" sheetId="5" r:id="rId1"/>
    <sheet name="RESULTADOS" sheetId="1" r:id="rId2"/>
    <sheet name="Martin-Hopkins" sheetId="2" r:id="rId3"/>
    <sheet name="HOMBRES" sheetId="8" r:id="rId4"/>
    <sheet name="MUJERES" sheetId="7" r:id="rId5"/>
  </sheets>
  <definedNames>
    <definedName name="_xlnm.Print_Area" localSheetId="3">HOMBRES!$A$1:$Z$40</definedName>
    <definedName name="_xlnm.Print_Area" localSheetId="0">INICIO!$A$1:$I$72</definedName>
    <definedName name="_xlnm.Print_Area" localSheetId="4">MUJERES!$A$1:$Z$40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8" l="1"/>
  <c r="P36" i="8"/>
  <c r="H36" i="8"/>
  <c r="M35" i="8"/>
  <c r="O35" i="8" s="1"/>
  <c r="H35" i="8"/>
  <c r="H34" i="8"/>
  <c r="H33" i="8"/>
  <c r="H32" i="8"/>
  <c r="H37" i="8" s="1"/>
  <c r="T11" i="8" s="1"/>
  <c r="N31" i="8"/>
  <c r="M31" i="8"/>
  <c r="X14" i="8" s="1"/>
  <c r="O30" i="8"/>
  <c r="O29" i="8"/>
  <c r="I29" i="8"/>
  <c r="G28" i="8"/>
  <c r="F27" i="8"/>
  <c r="H27" i="8" s="1"/>
  <c r="H26" i="8"/>
  <c r="F25" i="8"/>
  <c r="H25" i="8" s="1"/>
  <c r="P24" i="8"/>
  <c r="S13" i="8" s="1"/>
  <c r="F24" i="8"/>
  <c r="H24" i="8" s="1"/>
  <c r="H29" i="8" s="1"/>
  <c r="T10" i="8" s="1"/>
  <c r="O23" i="8"/>
  <c r="O22" i="8"/>
  <c r="O24" i="8" s="1"/>
  <c r="T13" i="8" s="1"/>
  <c r="I21" i="8"/>
  <c r="H20" i="8"/>
  <c r="P19" i="8"/>
  <c r="F19" i="8"/>
  <c r="M18" i="8"/>
  <c r="O18" i="8" s="1"/>
  <c r="M17" i="8"/>
  <c r="O17" i="8" s="1"/>
  <c r="H17" i="8"/>
  <c r="H21" i="8" s="1"/>
  <c r="T9" i="8" s="1"/>
  <c r="M16" i="8"/>
  <c r="O16" i="8" s="1"/>
  <c r="W15" i="8"/>
  <c r="M15" i="8"/>
  <c r="O15" i="8" s="1"/>
  <c r="S14" i="8"/>
  <c r="O14" i="8"/>
  <c r="I14" i="8"/>
  <c r="S8" i="8" s="1"/>
  <c r="S15" i="8" s="1"/>
  <c r="O13" i="8"/>
  <c r="H13" i="8"/>
  <c r="S12" i="8"/>
  <c r="O12" i="8"/>
  <c r="F12" i="8"/>
  <c r="H12" i="8" s="1"/>
  <c r="H14" i="8" s="1"/>
  <c r="T8" i="8" s="1"/>
  <c r="S11" i="8"/>
  <c r="O11" i="8"/>
  <c r="H11" i="8"/>
  <c r="S10" i="8"/>
  <c r="O10" i="8"/>
  <c r="F10" i="8"/>
  <c r="F28" i="8" s="1"/>
  <c r="H28" i="8" s="1"/>
  <c r="S9" i="8"/>
  <c r="O9" i="8"/>
  <c r="M9" i="8"/>
  <c r="M8" i="8"/>
  <c r="O8" i="8" s="1"/>
  <c r="F8" i="8"/>
  <c r="O7" i="8"/>
  <c r="O6" i="8"/>
  <c r="I37" i="7"/>
  <c r="P36" i="7"/>
  <c r="H35" i="7"/>
  <c r="H34" i="7"/>
  <c r="M35" i="7"/>
  <c r="O35" i="7" s="1"/>
  <c r="H33" i="7"/>
  <c r="H32" i="7"/>
  <c r="O30" i="7"/>
  <c r="O29" i="7"/>
  <c r="I29" i="7"/>
  <c r="M31" i="7"/>
  <c r="G28" i="7"/>
  <c r="H26" i="7"/>
  <c r="P24" i="7"/>
  <c r="S13" i="7" s="1"/>
  <c r="F24" i="7"/>
  <c r="H24" i="7" s="1"/>
  <c r="O23" i="7"/>
  <c r="O22" i="7"/>
  <c r="O24" i="7" s="1"/>
  <c r="T13" i="7" s="1"/>
  <c r="I21" i="7"/>
  <c r="S9" i="7" s="1"/>
  <c r="H20" i="7"/>
  <c r="P19" i="7"/>
  <c r="F25" i="7"/>
  <c r="H25" i="7" s="1"/>
  <c r="F19" i="7"/>
  <c r="M16" i="7"/>
  <c r="M17" i="7" s="1"/>
  <c r="O17" i="7" s="1"/>
  <c r="W15" i="7"/>
  <c r="S14" i="7"/>
  <c r="O14" i="7"/>
  <c r="I14" i="7"/>
  <c r="O13" i="7"/>
  <c r="H13" i="7"/>
  <c r="S12" i="7"/>
  <c r="O12" i="7"/>
  <c r="F12" i="7"/>
  <c r="H12" i="7" s="1"/>
  <c r="S11" i="7"/>
  <c r="F27" i="7"/>
  <c r="H27" i="7" s="1"/>
  <c r="H11" i="7"/>
  <c r="H14" i="7" s="1"/>
  <c r="T8" i="7" s="1"/>
  <c r="S10" i="7"/>
  <c r="M9" i="7"/>
  <c r="F8" i="7"/>
  <c r="S8" i="7"/>
  <c r="M8" i="7"/>
  <c r="O8" i="7" s="1"/>
  <c r="O7" i="7"/>
  <c r="F10" i="7"/>
  <c r="F28" i="7" s="1"/>
  <c r="H28" i="7" s="1"/>
  <c r="O6" i="7"/>
  <c r="N31" i="7"/>
  <c r="K20" i="1"/>
  <c r="K18" i="1"/>
  <c r="V11" i="8" l="1"/>
  <c r="X11" i="8"/>
  <c r="U11" i="8"/>
  <c r="X9" i="8"/>
  <c r="V9" i="8"/>
  <c r="U9" i="8"/>
  <c r="O19" i="8"/>
  <c r="T12" i="8" s="1"/>
  <c r="O36" i="8"/>
  <c r="T14" i="8" s="1"/>
  <c r="X8" i="8"/>
  <c r="X15" i="8" s="1"/>
  <c r="X16" i="8" s="1"/>
  <c r="V8" i="8"/>
  <c r="V15" i="8" s="1"/>
  <c r="V16" i="8" s="1"/>
  <c r="U8" i="8"/>
  <c r="V13" i="8"/>
  <c r="U13" i="8"/>
  <c r="X13" i="8"/>
  <c r="V10" i="8"/>
  <c r="X10" i="8"/>
  <c r="U10" i="8"/>
  <c r="O31" i="8"/>
  <c r="O36" i="7"/>
  <c r="T14" i="7" s="1"/>
  <c r="O9" i="7"/>
  <c r="U8" i="7"/>
  <c r="X8" i="7"/>
  <c r="X15" i="7" s="1"/>
  <c r="X16" i="7" s="1"/>
  <c r="X14" i="7"/>
  <c r="O31" i="7"/>
  <c r="S15" i="7"/>
  <c r="V8" i="7" s="1"/>
  <c r="V15" i="7" s="1"/>
  <c r="V16" i="7" s="1"/>
  <c r="U13" i="7"/>
  <c r="X13" i="7"/>
  <c r="V13" i="7"/>
  <c r="H29" i="7"/>
  <c r="T10" i="7" s="1"/>
  <c r="O10" i="7"/>
  <c r="O19" i="7" s="1"/>
  <c r="T12" i="7" s="1"/>
  <c r="O16" i="7"/>
  <c r="H17" i="7"/>
  <c r="H21" i="7" s="1"/>
  <c r="T9" i="7" s="1"/>
  <c r="M15" i="7"/>
  <c r="O15" i="7" s="1"/>
  <c r="H36" i="7"/>
  <c r="H37" i="7" s="1"/>
  <c r="T11" i="7" s="1"/>
  <c r="O11" i="7"/>
  <c r="M18" i="7"/>
  <c r="O18" i="7" s="1"/>
  <c r="V14" i="8" l="1"/>
  <c r="U14" i="8"/>
  <c r="V12" i="8"/>
  <c r="U12" i="8"/>
  <c r="X12" i="8"/>
  <c r="U12" i="7"/>
  <c r="V12" i="7"/>
  <c r="X12" i="7"/>
  <c r="V11" i="7"/>
  <c r="U11" i="7"/>
  <c r="X11" i="7"/>
  <c r="U10" i="7"/>
  <c r="X10" i="7"/>
  <c r="V10" i="7"/>
  <c r="V14" i="7"/>
  <c r="U14" i="7"/>
  <c r="X9" i="7"/>
  <c r="U9" i="7"/>
  <c r="V9" i="7"/>
  <c r="D207" i="1" l="1"/>
  <c r="E207" i="1"/>
  <c r="F207" i="1" l="1"/>
  <c r="H207" i="1" s="1"/>
  <c r="G207" i="1" l="1"/>
  <c r="J2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Reina</author>
  </authors>
  <commentList>
    <comment ref="H20" authorId="0" shapeId="0" xr:uid="{6F4E6E04-7F29-415F-956D-8C3E48D50FEE}">
      <text>
        <r>
          <rPr>
            <b/>
            <sz val="12"/>
            <color indexed="81"/>
            <rFont val="Tahoma"/>
            <family val="2"/>
          </rPr>
          <t xml:space="preserve">VLDLc por fórmula de Martin-Hopkins:
VLDLc= T/factor  
</t>
        </r>
        <r>
          <rPr>
            <sz val="12"/>
            <color indexed="81"/>
            <rFont val="Tahoma"/>
            <family val="2"/>
          </rPr>
          <t xml:space="preserve">(Ver </t>
        </r>
        <r>
          <rPr>
            <b/>
            <sz val="12"/>
            <color indexed="81"/>
            <rFont val="Tahoma"/>
            <family val="2"/>
          </rPr>
          <t>factor</t>
        </r>
        <r>
          <rPr>
            <sz val="12"/>
            <color indexed="81"/>
            <rFont val="Tahoma"/>
            <family val="2"/>
          </rPr>
          <t xml:space="preserve"> en tabla: clic en </t>
        </r>
        <r>
          <rPr>
            <b/>
            <sz val="12"/>
            <color indexed="81"/>
            <rFont val="Tahoma"/>
            <family val="2"/>
          </rPr>
          <t>+</t>
        </r>
        <r>
          <rPr>
            <sz val="12"/>
            <color indexed="81"/>
            <rFont val="Tahoma"/>
            <family val="2"/>
          </rPr>
          <t>)</t>
        </r>
      </text>
    </comment>
    <comment ref="K20" authorId="0" shapeId="0" xr:uid="{5B288CFB-AF36-4510-BFF5-9BBFAB3D1C3B}">
      <text>
        <r>
          <rPr>
            <sz val="12"/>
            <color indexed="81"/>
            <rFont val="Tahoma"/>
            <family val="2"/>
          </rPr>
          <t>Calculado con fórmula de
Martin-Hopkins:</t>
        </r>
        <r>
          <rPr>
            <b/>
            <sz val="12"/>
            <color indexed="81"/>
            <rFont val="Tahoma"/>
            <family val="2"/>
          </rPr>
          <t xml:space="preserve">
VLDL= T/factor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</author>
    <author>Juan Reina</author>
    <author>Juan M. Reina</author>
  </authors>
  <commentList>
    <comment ref="K4" authorId="0" shapeId="0" xr:uid="{8AB8EF62-B657-4A32-82F7-569AA4E43D9D}">
      <text/>
    </comment>
    <comment ref="D8" authorId="1" shapeId="0" xr:uid="{997C0786-47E6-4486-9F6B-1720287BC10F}">
      <text>
        <r>
          <rPr>
            <b/>
            <sz val="11"/>
            <color indexed="81"/>
            <rFont val="Tahoma"/>
            <family val="2"/>
          </rPr>
          <t xml:space="preserve">Peso óptimo de Broca. Hombres: 
P.O.= </t>
        </r>
        <r>
          <rPr>
            <sz val="11"/>
            <color indexed="81"/>
            <rFont val="Tahoma"/>
            <family val="2"/>
          </rPr>
          <t>Talla(cm)-100 –((Talla(cm)-100–52) x 0,2)=</t>
        </r>
        <r>
          <rPr>
            <b/>
            <sz val="11"/>
            <color indexed="81"/>
            <rFont val="Tahoma"/>
            <family val="2"/>
          </rPr>
          <t xml:space="preserve">
            Talla(cm)-100 –((Talla(cm)-48) x 0,2)</t>
        </r>
      </text>
    </comment>
    <comment ref="M9" authorId="2" shapeId="0" xr:uid="{69894D4F-20CB-4C90-B13E-E257E2C823F8}">
      <text>
        <r>
          <rPr>
            <b/>
            <sz val="12"/>
            <color indexed="81"/>
            <rFont val="Tahoma"/>
            <family val="2"/>
          </rPr>
          <t>LDLc= C - HDLc - VLDLc</t>
        </r>
      </text>
    </comment>
    <comment ref="D10" authorId="0" shapeId="0" xr:uid="{F058D522-0389-41E1-9996-D3C539A2B074}">
      <text>
        <r>
          <rPr>
            <b/>
            <sz val="9"/>
            <color indexed="81"/>
            <rFont val="Tahoma"/>
            <family val="2"/>
          </rPr>
          <t>IMC= PESO</t>
        </r>
        <r>
          <rPr>
            <b/>
            <vertAlign val="subscript"/>
            <sz val="9"/>
            <color indexed="81"/>
            <rFont val="Tahoma"/>
            <family val="2"/>
          </rPr>
          <t>(kg)</t>
        </r>
        <r>
          <rPr>
            <b/>
            <sz val="9"/>
            <color indexed="81"/>
            <rFont val="Tahoma"/>
            <family val="2"/>
          </rPr>
          <t>/ TALLA</t>
        </r>
        <r>
          <rPr>
            <b/>
            <vertAlign val="subscript"/>
            <sz val="9"/>
            <color indexed="81"/>
            <rFont val="Tahoma"/>
            <family val="2"/>
          </rPr>
          <t>(m)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</text>
    </comment>
    <comment ref="G10" authorId="0" shapeId="0" xr:uid="{B64A26A1-DD57-4598-BFFC-3D956AB9120C}">
      <text/>
    </comment>
    <comment ref="G11" authorId="0" shapeId="0" xr:uid="{636A8B25-A24B-4BD7-833E-8804DB737D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80358299-F59B-4EED-ADA7-5E2C84DF4994}">
      <text/>
    </comment>
    <comment ref="V16" authorId="0" shapeId="0" xr:uid="{B4692D71-8579-4213-A034-46FD37DEBD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 shapeId="0" xr:uid="{467FA588-3276-42A3-9304-BAC30FC407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C027393D-E102-4B03-84EF-D7951CF4B767}">
      <text/>
    </comment>
    <comment ref="G18" authorId="0" shapeId="0" xr:uid="{3D067D2F-B11B-4F39-9DB3-88D3E9DDAF3F}">
      <text/>
    </comment>
    <comment ref="D19" authorId="1" shapeId="0" xr:uid="{B40A397B-7291-4720-AF2F-1980E915EBA8}">
      <text>
        <r>
          <rPr>
            <b/>
            <sz val="12"/>
            <color indexed="81"/>
            <rFont val="Tahoma"/>
            <family val="2"/>
          </rPr>
          <t xml:space="preserve">Gpm= (28,7*A1C)-46,7
</t>
        </r>
        <r>
          <rPr>
            <sz val="8"/>
            <color indexed="81"/>
            <rFont val="Tahoma"/>
            <family val="2"/>
          </rPr>
          <t>Nathan DM, Kuenen J, Borg R, Zheng H, Schoenfeld D, Heine RJ. Translating the A1C assay into estimated average glucose values. 
Diabetes Care. 2008 Aug;31(8):1473-8. doi: 10.2337/dc08-0545</t>
        </r>
      </text>
    </comment>
    <comment ref="G19" authorId="0" shapeId="0" xr:uid="{EDCB26A5-09A6-4112-BFF3-9E1EE6AD14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61166287-F212-45CE-989A-5346F3C8E6DC}">
      <text/>
    </comment>
    <comment ref="K20" authorId="2" shapeId="0" xr:uid="{B2B64CA9-BD1F-4425-A9ED-53C80A08C8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9DD6352C-19FB-4C47-9B7F-0C5FC7E4C526}">
      <text>
        <r>
          <rPr>
            <b/>
            <sz val="12"/>
            <color indexed="81"/>
            <rFont val="Tahoma"/>
            <family val="2"/>
          </rPr>
          <t>Índice de Matthews =(G</t>
        </r>
        <r>
          <rPr>
            <b/>
            <vertAlign val="subscript"/>
            <sz val="12"/>
            <color indexed="81"/>
            <rFont val="Tahoma"/>
            <family val="2"/>
          </rPr>
          <t>(mg/dl)</t>
        </r>
        <r>
          <rPr>
            <b/>
            <sz val="12"/>
            <color indexed="81"/>
            <rFont val="Tahoma"/>
            <family val="2"/>
          </rPr>
          <t>)*INS</t>
        </r>
        <r>
          <rPr>
            <b/>
            <vertAlign val="subscript"/>
            <sz val="12"/>
            <color indexed="81"/>
            <rFont val="Tahoma"/>
            <family val="2"/>
          </rPr>
          <t>(μU/mL)</t>
        </r>
        <r>
          <rPr>
            <b/>
            <sz val="12"/>
            <color indexed="81"/>
            <rFont val="Tahoma"/>
            <family val="2"/>
          </rPr>
          <t xml:space="preserve">/405
</t>
        </r>
        <r>
          <rPr>
            <b/>
            <sz val="9"/>
            <color indexed="81"/>
            <rFont val="Tahoma"/>
            <family val="2"/>
          </rPr>
          <t>https://pubmed.ncbi.nlm.nih.gov/3899825/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Matthews DR; Hosker JP; Rudensky AS; Nailor BA; Tracher DF; Turner RC. Homeostasis model assessment: insulin resistence and Beta cell function from fasting plasma glucose and insulin concentration in man. Diabetologia 1985: 28:412-9.</t>
        </r>
      </text>
    </comment>
    <comment ref="G24" authorId="0" shapeId="0" xr:uid="{C13E1E50-A33B-46A5-98E6-25216C6FD120}">
      <text/>
    </comment>
    <comment ref="D25" authorId="1" shapeId="0" xr:uid="{433BBA13-00F3-4CAB-86C2-DC5F649F0814}">
      <text>
        <r>
          <rPr>
            <b/>
            <sz val="11"/>
            <color indexed="81"/>
            <rFont val="Tahoma"/>
            <family val="2"/>
          </rPr>
          <t>Quantitative Insulin Sensitivity Check Index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QUICKI=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1/(log G</t>
        </r>
        <r>
          <rPr>
            <b/>
            <vertAlign val="subscript"/>
            <sz val="11"/>
            <color indexed="81"/>
            <rFont val="Tahoma"/>
            <family val="2"/>
          </rPr>
          <t>(mg/dL)</t>
        </r>
        <r>
          <rPr>
            <b/>
            <sz val="11"/>
            <color indexed="81"/>
            <rFont val="Tahoma"/>
            <family val="2"/>
          </rPr>
          <t>+log INS</t>
        </r>
        <r>
          <rPr>
            <b/>
            <vertAlign val="subscript"/>
            <sz val="11"/>
            <color indexed="81"/>
            <rFont val="Tahoma"/>
            <family val="2"/>
          </rPr>
          <t>(U/mL)</t>
        </r>
        <r>
          <rPr>
            <b/>
            <sz val="11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>Katz A, Nambi SS, Mather K, Baron AD, Follmann DA, Sullivan G, Quon MJ: Quantitative insulin sensitivity check index: a simple, accurate method for assessing insulin sensitivity in humans. J Clin Endocrinol Metab 85:2402–2410, 2000.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636B8561-4B17-449F-A653-AC3AE384F397}">
      <text/>
    </comment>
    <comment ref="D26" authorId="2" shapeId="0" xr:uid="{5EC8AC95-0726-41F6-BE52-12D3418628E0}">
      <text>
        <r>
          <rPr>
            <b/>
            <sz val="9"/>
            <color indexed="81"/>
            <rFont val="Tahoma"/>
            <family val="2"/>
          </rPr>
          <t>Fatty Liver Index (FLI)= (e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>/(1+e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 xml:space="preserve">)) *100
</t>
        </r>
        <r>
          <rPr>
            <sz val="9"/>
            <color indexed="81"/>
            <rFont val="Tahoma"/>
            <family val="2"/>
          </rPr>
          <t>siendo:</t>
        </r>
        <r>
          <rPr>
            <b/>
            <sz val="9"/>
            <color indexed="81"/>
            <rFont val="Tahoma"/>
            <family val="2"/>
          </rPr>
          <t xml:space="preserve">
y= (0,953*log</t>
        </r>
        <r>
          <rPr>
            <b/>
            <vertAlign val="subscript"/>
            <sz val="9"/>
            <color indexed="81"/>
            <rFont val="Tahoma"/>
            <family val="2"/>
          </rPr>
          <t>e</t>
        </r>
        <r>
          <rPr>
            <b/>
            <sz val="9"/>
            <color indexed="81"/>
            <rFont val="Tahoma"/>
            <family val="2"/>
          </rPr>
          <t>(T))+(0,139*IMC)+(0,718*log</t>
        </r>
        <r>
          <rPr>
            <b/>
            <vertAlign val="subscript"/>
            <sz val="9"/>
            <color indexed="81"/>
            <rFont val="Tahoma"/>
            <family val="2"/>
          </rPr>
          <t>e</t>
        </r>
        <r>
          <rPr>
            <b/>
            <sz val="9"/>
            <color indexed="81"/>
            <rFont val="Tahoma"/>
            <family val="2"/>
          </rPr>
          <t xml:space="preserve">(GGT))+(0,053*Cint)−15,745)
</t>
        </r>
        <r>
          <rPr>
            <sz val="9"/>
            <color indexed="81"/>
            <rFont val="Tahoma"/>
            <family val="2"/>
          </rPr>
          <t xml:space="preserve">T= triglicéridos
Cint= circunferencia de la cintura
</t>
        </r>
        <r>
          <rPr>
            <b/>
            <i/>
            <sz val="9"/>
            <color indexed="81"/>
            <rFont val="Tahoma"/>
            <family val="2"/>
          </rPr>
          <t>log</t>
        </r>
        <r>
          <rPr>
            <b/>
            <i/>
            <vertAlign val="subscript"/>
            <sz val="9"/>
            <color indexed="81"/>
            <rFont val="Tahoma"/>
            <family val="2"/>
          </rPr>
          <t>e</t>
        </r>
        <r>
          <rPr>
            <b/>
            <i/>
            <sz val="9"/>
            <color indexed="81"/>
            <rFont val="Tahoma"/>
            <family val="2"/>
          </rPr>
          <t xml:space="preserve"> se programa en Excel como =LN()</t>
        </r>
      </text>
    </comment>
    <comment ref="G26" authorId="0" shapeId="0" xr:uid="{A148B718-D3BB-4344-8313-919E764CF8C6}">
      <text/>
    </comment>
    <comment ref="D27" authorId="2" shapeId="0" xr:uid="{D140F3F8-690A-48F9-A1BF-970506A7A202}">
      <text>
        <r>
          <rPr>
            <b/>
            <sz val="12"/>
            <color indexed="81"/>
            <rFont val="Arial"/>
            <family val="2"/>
          </rPr>
          <t>TyG= ln(T*G)/2</t>
        </r>
        <r>
          <rPr>
            <sz val="9"/>
            <color indexed="81"/>
            <rFont val="Arial"/>
            <family val="2"/>
          </rPr>
          <t xml:space="preserve">
Simental-Mendía LE, Rodríguez-Morgan M, Guerrero- Romero F. The product of fasting glucose and triglycerides as surrogate for identifying insulin resistance in apparently healthy subjects. Metab Syndrome Relat Disord 2008;. 6 (4): 299-304.</t>
        </r>
      </text>
    </comment>
    <comment ref="G27" authorId="0" shapeId="0" xr:uid="{C7FC5935-0685-4982-837B-C0E9102879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2" shapeId="0" xr:uid="{0ECF5886-CA1E-4E05-883C-BAA3D5014420}">
      <text>
        <r>
          <rPr>
            <b/>
            <sz val="9"/>
            <color indexed="81"/>
            <rFont val="Tahoma"/>
            <family val="2"/>
          </rPr>
          <t>VAI = (Cint/(39,68+(1,88*IMC))*(T/1,03)*(1,31/HDLc)</t>
        </r>
        <r>
          <rPr>
            <sz val="9"/>
            <color indexed="81"/>
            <rFont val="Tahoma"/>
            <family val="2"/>
          </rPr>
          <t xml:space="preserve"> 
Cint en cm
T y HDLc en mmol/L. 
T (mmol/L)= T (mg/dL)*0,01129
HDLc (mmol/L)= HDLc (mg/dL)/39
La fórmula quedará con la transformación a mmol/L:
</t>
        </r>
        <r>
          <rPr>
            <b/>
            <sz val="9"/>
            <color indexed="81"/>
            <rFont val="Tahoma"/>
            <family val="2"/>
          </rPr>
          <t>VAI = (Cint/(39,68+(1,88*IMC))*(T*0,01129/1,03)*(1,31*39/HDLc)</t>
        </r>
        <r>
          <rPr>
            <sz val="9"/>
            <color indexed="81"/>
            <rFont val="Tahoma"/>
            <family val="2"/>
          </rPr>
          <t xml:space="preserve"> 
</t>
        </r>
        <r>
          <rPr>
            <sz val="8"/>
            <color indexed="81"/>
            <rFont val="Tahoma"/>
            <family val="2"/>
          </rPr>
          <t>M.C. Amato, C. Giordano. Visceral adiposity index: an indicator of adipose tissue dysfunction. Int J Endocrinol., 2014 (2014), pp. 730827
http://dx.doi.org/10.1155/2014/730827</t>
        </r>
      </text>
    </comment>
    <comment ref="G28" authorId="0" shapeId="0" xr:uid="{35C40981-4ADB-4255-8A6D-EF722416E709}">
      <text/>
    </comment>
    <comment ref="K31" authorId="2" shapeId="0" xr:uid="{CD8DCEB9-C356-41DC-9D90-C60E412FCB56}">
      <text>
        <r>
          <rPr>
            <b/>
            <sz val="8"/>
            <color indexed="81"/>
            <rFont val="Tahoma"/>
            <family val="2"/>
          </rPr>
          <t>CKD-EPI= Chronic Kidney Disease Epidemiology Collaboration 2021</t>
        </r>
        <r>
          <rPr>
            <b/>
            <sz val="11"/>
            <color indexed="81"/>
            <rFont val="Tahoma"/>
            <family val="2"/>
          </rPr>
          <t xml:space="preserve">
eTFG</t>
        </r>
        <r>
          <rPr>
            <vertAlign val="subscript"/>
            <sz val="11"/>
            <color indexed="81"/>
            <rFont val="Tahoma"/>
            <family val="2"/>
          </rPr>
          <t>(CKD-EPI) HOMBRES</t>
        </r>
        <r>
          <rPr>
            <b/>
            <sz val="11"/>
            <color indexed="81"/>
            <rFont val="Tahoma"/>
            <family val="2"/>
          </rPr>
          <t>=
Si CR≤ 0,9: 142 * (CR/0,9)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-0,302 </t>
        </r>
        <r>
          <rPr>
            <b/>
            <sz val="11"/>
            <color indexed="81"/>
            <rFont val="Tahoma"/>
            <family val="2"/>
          </rPr>
          <t>* 1</t>
        </r>
        <r>
          <rPr>
            <b/>
            <vertAlign val="superscript"/>
            <sz val="11"/>
            <color indexed="81"/>
            <rFont val="Tahoma"/>
            <family val="2"/>
          </rPr>
          <t>-1,200</t>
        </r>
        <r>
          <rPr>
            <b/>
            <sz val="11"/>
            <color indexed="81"/>
            <rFont val="Tahoma"/>
            <family val="2"/>
          </rPr>
          <t xml:space="preserve"> *0,9938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
</t>
        </r>
        <r>
          <rPr>
            <b/>
            <sz val="11"/>
            <color indexed="81"/>
            <rFont val="Tahoma"/>
            <family val="2"/>
          </rPr>
          <t>Si CR&gt; 0,9: 142 * 1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-0,302 </t>
        </r>
        <r>
          <rPr>
            <b/>
            <sz val="11"/>
            <color indexed="81"/>
            <rFont val="Tahoma"/>
            <family val="2"/>
          </rPr>
          <t>* (CR/0,9)</t>
        </r>
        <r>
          <rPr>
            <b/>
            <vertAlign val="superscript"/>
            <sz val="11"/>
            <color indexed="81"/>
            <rFont val="Tahoma"/>
            <family val="2"/>
          </rPr>
          <t>-1,200</t>
        </r>
        <r>
          <rPr>
            <b/>
            <sz val="11"/>
            <color indexed="81"/>
            <rFont val="Tahoma"/>
            <family val="2"/>
          </rPr>
          <t xml:space="preserve"> *0,9938</t>
        </r>
        <r>
          <rPr>
            <b/>
            <vertAlign val="superscript"/>
            <sz val="11"/>
            <color indexed="81"/>
            <rFont val="Tahoma"/>
            <family val="2"/>
          </rPr>
          <t>Edad</t>
        </r>
      </text>
    </comment>
    <comment ref="N31" authorId="2" shapeId="0" xr:uid="{AB477FED-620D-4D80-9231-E4258865182B}">
      <text>
        <r>
          <rPr>
            <b/>
            <sz val="14"/>
            <color indexed="81"/>
            <rFont val="Tahoma"/>
            <family val="2"/>
          </rPr>
          <t xml:space="preserve"> </t>
        </r>
      </text>
    </comment>
    <comment ref="N35" authorId="0" shapeId="0" xr:uid="{2014CEDC-C10B-4A67-8526-BAF3863F2D2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</author>
    <author>Juan Reina</author>
    <author>Juan M. Reina</author>
  </authors>
  <commentList>
    <comment ref="K4" authorId="0" shapeId="0" xr:uid="{EBB7DC6B-A782-469C-922F-77F7265B81AE}">
      <text/>
    </comment>
    <comment ref="D8" authorId="1" shapeId="0" xr:uid="{277D322E-56D6-4DDC-9253-9DAAEF28A6EA}">
      <text>
        <r>
          <rPr>
            <b/>
            <sz val="11"/>
            <color indexed="81"/>
            <rFont val="Tahoma"/>
            <family val="2"/>
          </rPr>
          <t xml:space="preserve">Peso óptimo de Broca. Mujeres: 
P.O.= </t>
        </r>
        <r>
          <rPr>
            <sz val="11"/>
            <color indexed="81"/>
            <rFont val="Tahoma"/>
            <family val="2"/>
          </rPr>
          <t>Talla(cm)-100 –((Talla(cm)–100-52) x 0’4)</t>
        </r>
        <r>
          <rPr>
            <b/>
            <sz val="11"/>
            <color indexed="81"/>
            <rFont val="Tahoma"/>
            <family val="2"/>
          </rPr>
          <t xml:space="preserve">
       = Talla(cm)-100 –((Talla(cm)-48) x 0’4)</t>
        </r>
      </text>
    </comment>
    <comment ref="M9" authorId="2" shapeId="0" xr:uid="{749C8117-9C69-42B0-A2A7-79E22E61D277}">
      <text>
        <r>
          <rPr>
            <b/>
            <sz val="11"/>
            <color indexed="81"/>
            <rFont val="Tahoma"/>
            <family val="2"/>
          </rPr>
          <t>LDLc= C - (HDLc) - (VLDLc)</t>
        </r>
      </text>
    </comment>
    <comment ref="D10" authorId="0" shapeId="0" xr:uid="{BAADD931-9ABB-474F-9C0B-6F6AEFE2EFF9}">
      <text>
        <r>
          <rPr>
            <b/>
            <sz val="9"/>
            <color indexed="81"/>
            <rFont val="Tahoma"/>
            <family val="2"/>
          </rPr>
          <t>IMC= PESO</t>
        </r>
        <r>
          <rPr>
            <b/>
            <vertAlign val="subscript"/>
            <sz val="9"/>
            <color indexed="81"/>
            <rFont val="Tahoma"/>
            <family val="2"/>
          </rPr>
          <t>(kg)</t>
        </r>
        <r>
          <rPr>
            <b/>
            <sz val="9"/>
            <color indexed="81"/>
            <rFont val="Tahoma"/>
            <family val="2"/>
          </rPr>
          <t>/ TALLA</t>
        </r>
        <r>
          <rPr>
            <b/>
            <vertAlign val="subscript"/>
            <sz val="9"/>
            <color indexed="81"/>
            <rFont val="Tahoma"/>
            <family val="2"/>
          </rPr>
          <t>(m)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</text>
    </comment>
    <comment ref="G10" authorId="0" shapeId="0" xr:uid="{8AA0836C-F460-4399-9C24-6CE29B1F8E60}">
      <text/>
    </comment>
    <comment ref="G11" authorId="0" shapeId="0" xr:uid="{5EBF554A-0E94-4739-9323-D2B2F77C2F81}">
      <text/>
    </comment>
    <comment ref="G12" authorId="0" shapeId="0" xr:uid="{4CEE2C59-9F3C-4950-8816-66C7D2D9D20F}">
      <text/>
    </comment>
    <comment ref="V16" authorId="0" shapeId="0" xr:uid="{31956168-BDB5-4055-BE08-A0F94F4517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 shapeId="0" xr:uid="{00BBB614-E7AF-4881-9071-CA0BD7BEBB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80CD5881-AC99-4922-8E4B-76793CDDE168}">
      <text/>
    </comment>
    <comment ref="G18" authorId="0" shapeId="0" xr:uid="{72815195-004A-4051-9162-99524B0C9B1D}">
      <text/>
    </comment>
    <comment ref="D19" authorId="1" shapeId="0" xr:uid="{426373FB-6531-49FC-BCC9-EFDB255797E3}">
      <text>
        <r>
          <rPr>
            <b/>
            <sz val="11"/>
            <color indexed="81"/>
            <rFont val="Tahoma"/>
            <family val="2"/>
          </rPr>
          <t xml:space="preserve">Gpm= (28,7*A1C)-46,7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Nathan DM, Kuenen J, Borg R, Zheng H, Schoenfeld D, Heine RJ. Translating the A1C assay into estimated average glucose values. Diabetes Care. 2008 Aug;31(8):1473-8. doi: 10.2337/dc08-0545</t>
        </r>
      </text>
    </comment>
    <comment ref="G19" authorId="0" shapeId="0" xr:uid="{9229329B-CC00-403E-83EF-3BA7C23DA7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31619624-C38D-4178-9BAA-F826FCEB41B8}">
      <text/>
    </comment>
    <comment ref="K20" authorId="2" shapeId="0" xr:uid="{680A2BB3-6095-4C84-BD66-8A02DFE539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3B360165-EE1B-415E-BF01-20910A31450E}">
      <text>
        <r>
          <rPr>
            <b/>
            <sz val="11"/>
            <color indexed="81"/>
            <rFont val="Tahoma"/>
            <family val="2"/>
          </rPr>
          <t>Índice de Matthews =(G</t>
        </r>
        <r>
          <rPr>
            <b/>
            <vertAlign val="subscript"/>
            <sz val="11"/>
            <color indexed="81"/>
            <rFont val="Tahoma"/>
            <family val="2"/>
          </rPr>
          <t>(mg/dl)</t>
        </r>
        <r>
          <rPr>
            <b/>
            <sz val="11"/>
            <color indexed="81"/>
            <rFont val="Tahoma"/>
            <family val="2"/>
          </rPr>
          <t>)*INS</t>
        </r>
        <r>
          <rPr>
            <b/>
            <vertAlign val="subscript"/>
            <sz val="11"/>
            <color indexed="81"/>
            <rFont val="Tahoma"/>
            <family val="2"/>
          </rPr>
          <t>(μU/mL)</t>
        </r>
        <r>
          <rPr>
            <b/>
            <sz val="11"/>
            <color indexed="81"/>
            <rFont val="Tahoma"/>
            <family val="2"/>
          </rPr>
          <t xml:space="preserve">/405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Matthews DR; Hosker JP; Rudensky AS; Nailor BA; Tracher DF; Turner RC. Homeostasis model assessment: insulin resistence and Beta cell function from fasting plasma glucose and insulin concentration in man. Diabetologia 1985: 28:412-9.</t>
        </r>
      </text>
    </comment>
    <comment ref="G24" authorId="0" shapeId="0" xr:uid="{73254323-F795-454D-9ACD-0DF7B72B2C85}">
      <text/>
    </comment>
    <comment ref="D25" authorId="1" shapeId="0" xr:uid="{1A8838B3-B10B-43A1-8D22-F86C131111DF}">
      <text>
        <r>
          <rPr>
            <b/>
            <sz val="10"/>
            <color indexed="81"/>
            <rFont val="Tahoma"/>
            <family val="2"/>
          </rPr>
          <t>Quantitative Insulin Sensitivity Check Index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QUICKI=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1/(log G</t>
        </r>
        <r>
          <rPr>
            <b/>
            <vertAlign val="subscript"/>
            <sz val="10"/>
            <color indexed="81"/>
            <rFont val="Tahoma"/>
            <family val="2"/>
          </rPr>
          <t>(mg/dL)</t>
        </r>
        <r>
          <rPr>
            <b/>
            <sz val="10"/>
            <color indexed="81"/>
            <rFont val="Tahoma"/>
            <family val="2"/>
          </rPr>
          <t>+log INS</t>
        </r>
        <r>
          <rPr>
            <b/>
            <vertAlign val="subscript"/>
            <sz val="10"/>
            <color indexed="81"/>
            <rFont val="Tahoma"/>
            <family val="2"/>
          </rPr>
          <t>(U/mL)</t>
        </r>
        <r>
          <rPr>
            <b/>
            <sz val="10"/>
            <color indexed="81"/>
            <rFont val="Tahoma"/>
            <family val="2"/>
          </rPr>
          <t xml:space="preserve">)
</t>
        </r>
        <r>
          <rPr>
            <sz val="8"/>
            <color indexed="81"/>
            <rFont val="Tahoma"/>
            <family val="2"/>
          </rPr>
          <t>Katz A, Nambi SS, Mather K, Baron AD, Follmann DA, Sullivan G, Quon MJ: Quantitative insulin sensitivity check index: a simple, accurate method for assessing insulin sensitivity in humans. J Clin Endocrinol Metab 85:2402–2410, 2000.</t>
        </r>
      </text>
    </comment>
    <comment ref="D26" authorId="2" shapeId="0" xr:uid="{D08EF81F-46DE-4F65-9C71-52EA2B3DF9B2}">
      <text>
        <r>
          <rPr>
            <b/>
            <sz val="9"/>
            <color indexed="81"/>
            <rFont val="Tahoma"/>
            <family val="2"/>
          </rPr>
          <t>Fatty Liver Index (FLI)= (e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>/(1+e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 xml:space="preserve">)) *100
</t>
        </r>
        <r>
          <rPr>
            <sz val="9"/>
            <color indexed="81"/>
            <rFont val="Tahoma"/>
            <family val="2"/>
          </rPr>
          <t>siendo:</t>
        </r>
        <r>
          <rPr>
            <b/>
            <sz val="9"/>
            <color indexed="81"/>
            <rFont val="Tahoma"/>
            <family val="2"/>
          </rPr>
          <t xml:space="preserve">
y= (0,953*log</t>
        </r>
        <r>
          <rPr>
            <b/>
            <vertAlign val="subscript"/>
            <sz val="9"/>
            <color indexed="81"/>
            <rFont val="Tahoma"/>
            <family val="2"/>
          </rPr>
          <t>e</t>
        </r>
        <r>
          <rPr>
            <b/>
            <sz val="9"/>
            <color indexed="81"/>
            <rFont val="Tahoma"/>
            <family val="2"/>
          </rPr>
          <t>(T))+(0,139*IMC)+(0,718*log</t>
        </r>
        <r>
          <rPr>
            <b/>
            <vertAlign val="subscript"/>
            <sz val="9"/>
            <color indexed="81"/>
            <rFont val="Tahoma"/>
            <family val="2"/>
          </rPr>
          <t>e</t>
        </r>
        <r>
          <rPr>
            <b/>
            <sz val="9"/>
            <color indexed="81"/>
            <rFont val="Tahoma"/>
            <family val="2"/>
          </rPr>
          <t xml:space="preserve">(GGT))+(0,053*CC)−15,745)
</t>
        </r>
        <r>
          <rPr>
            <sz val="9"/>
            <color indexed="81"/>
            <rFont val="Tahoma"/>
            <family val="2"/>
          </rPr>
          <t xml:space="preserve">T= triglicéridos
CC= circunferencia de la cintura
</t>
        </r>
        <r>
          <rPr>
            <b/>
            <i/>
            <sz val="9"/>
            <color indexed="81"/>
            <rFont val="Tahoma"/>
            <family val="2"/>
          </rPr>
          <t>log</t>
        </r>
        <r>
          <rPr>
            <b/>
            <i/>
            <vertAlign val="subscript"/>
            <sz val="9"/>
            <color indexed="81"/>
            <rFont val="Tahoma"/>
            <family val="2"/>
          </rPr>
          <t>e</t>
        </r>
        <r>
          <rPr>
            <b/>
            <i/>
            <sz val="9"/>
            <color indexed="81"/>
            <rFont val="Tahoma"/>
            <family val="2"/>
          </rPr>
          <t xml:space="preserve"> se programa en Excel como =LN()</t>
        </r>
      </text>
    </comment>
    <comment ref="G26" authorId="0" shapeId="0" xr:uid="{EBC8139F-D9CE-4391-8FE6-9747EAEEB561}">
      <text/>
    </comment>
    <comment ref="D27" authorId="2" shapeId="0" xr:uid="{E8593E19-1E82-4D5C-AD88-7E731CD6529A}">
      <text>
        <r>
          <rPr>
            <b/>
            <sz val="12"/>
            <color indexed="81"/>
            <rFont val="Arial"/>
            <family val="2"/>
          </rPr>
          <t>TyG= ln(T*G)/2</t>
        </r>
        <r>
          <rPr>
            <sz val="9"/>
            <color indexed="81"/>
            <rFont val="Arial"/>
            <family val="2"/>
          </rPr>
          <t xml:space="preserve">
Simental-Mendía LE, Rodríguez-Morgan M, Guerrero- Romero F. The product of fasting glucose and triglycerides as surrogate for identifying insulin resistance in apparently healthy subjects. Metab Syndrome Relat Disord 2008;. 6 (4): 299-304.
IBR &lt; 8,75
Resultado&gt; 8,75= resistencia insulínica</t>
        </r>
      </text>
    </comment>
    <comment ref="G27" authorId="0" shapeId="0" xr:uid="{60921C65-F4A6-4363-AE69-5E893C54F3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2" shapeId="0" xr:uid="{A815DEBF-CAC9-49C2-9487-218168B44511}">
      <text>
        <r>
          <rPr>
            <b/>
            <sz val="9"/>
            <color indexed="81"/>
            <rFont val="Tahoma"/>
            <family val="2"/>
          </rPr>
          <t>VAI = (CC/(36,58+(1,89*IMC))*(T/0,81)*(1,52/HDLc)</t>
        </r>
        <r>
          <rPr>
            <sz val="9"/>
            <color indexed="81"/>
            <rFont val="Tahoma"/>
            <family val="2"/>
          </rPr>
          <t xml:space="preserve"> 
Cint en cm
T y HDLc en mmol/L. 
T (mmol/L)= T (mg/dL)*0,01129
HDLc (mmol/L)= HDLc (mg/dL)/39
La fórmula quedará con la transformación a mmol/L:
</t>
        </r>
        <r>
          <rPr>
            <b/>
            <sz val="9"/>
            <color indexed="81"/>
            <rFont val="Tahoma"/>
            <family val="2"/>
          </rPr>
          <t>VAI = (CC/(36,58+(1,89*IMC))*(T*0,01129/0,81)*(1,52*39/HDLc) 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M.C. Amato, C. Giordano.
Visceral adiposity index: an indicator of adipose tissue dysfunction.
Int J Endocrinol., 2014 (2014), pp. 730827
http://dx.doi.org/10.1155/2014/730827</t>
        </r>
      </text>
    </comment>
    <comment ref="G28" authorId="0" shapeId="0" xr:uid="{ABD92EFE-5AF6-4F25-A987-26074C6997FF}">
      <text/>
    </comment>
    <comment ref="K31" authorId="2" shapeId="0" xr:uid="{A31A6E07-9107-4D2C-B283-2F93F8AD28D6}">
      <text>
        <r>
          <rPr>
            <b/>
            <sz val="8"/>
            <color indexed="81"/>
            <rFont val="Tahoma"/>
            <family val="2"/>
          </rPr>
          <t>CKD-EPI= Chronic Kidney Disease Epidemiology Collaboration 2021</t>
        </r>
        <r>
          <rPr>
            <b/>
            <sz val="11"/>
            <color indexed="81"/>
            <rFont val="Tahoma"/>
            <family val="2"/>
          </rPr>
          <t xml:space="preserve">
eTFG</t>
        </r>
        <r>
          <rPr>
            <vertAlign val="subscript"/>
            <sz val="11"/>
            <color indexed="81"/>
            <rFont val="Tahoma"/>
            <family val="2"/>
          </rPr>
          <t>(CKD-EPI)  MUJERES</t>
        </r>
        <r>
          <rPr>
            <b/>
            <sz val="11"/>
            <color indexed="81"/>
            <rFont val="Tahoma"/>
            <family val="2"/>
          </rPr>
          <t>=
Si CR≤ 0,7: 142 * (CR/0,7)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-0,241 </t>
        </r>
        <r>
          <rPr>
            <b/>
            <sz val="11"/>
            <color indexed="81"/>
            <rFont val="Tahoma"/>
            <family val="2"/>
          </rPr>
          <t>* 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 </t>
        </r>
        <r>
          <rPr>
            <b/>
            <sz val="11"/>
            <color indexed="81"/>
            <rFont val="Tahoma"/>
            <family val="2"/>
          </rPr>
          <t>* 1,012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Si CR&gt; 0,7: 142 * (CR/0,7)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-1,200 </t>
        </r>
        <r>
          <rPr>
            <b/>
            <sz val="11"/>
            <color indexed="81"/>
            <rFont val="Tahoma"/>
            <family val="2"/>
          </rPr>
          <t>* 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 </t>
        </r>
        <r>
          <rPr>
            <b/>
            <sz val="11"/>
            <color indexed="81"/>
            <rFont val="Tahoma"/>
            <family val="2"/>
          </rPr>
          <t>* 1,012</t>
        </r>
      </text>
    </comment>
    <comment ref="N31" authorId="2" shapeId="0" xr:uid="{7283E778-EACF-4391-AD5E-8A6CAAAB6B8F}">
      <text>
        <r>
          <rPr>
            <b/>
            <sz val="14"/>
            <color indexed="81"/>
            <rFont val="Tahoma"/>
            <family val="2"/>
          </rPr>
          <t xml:space="preserve"> </t>
        </r>
      </text>
    </comment>
    <comment ref="N35" authorId="0" shapeId="0" xr:uid="{27D96D0F-F12B-4085-BFD1-44D775ACC5DF}">
      <text/>
    </comment>
  </commentList>
</comments>
</file>

<file path=xl/sharedStrings.xml><?xml version="1.0" encoding="utf-8"?>
<sst xmlns="http://schemas.openxmlformats.org/spreadsheetml/2006/main" count="513" uniqueCount="202">
  <si>
    <t>años</t>
  </si>
  <si>
    <t>kg</t>
  </si>
  <si>
    <t>m</t>
  </si>
  <si>
    <t>cm</t>
  </si>
  <si>
    <t>mm</t>
  </si>
  <si>
    <t>METABOLISMO DE LA GLUCOSA</t>
  </si>
  <si>
    <t>UNID</t>
  </si>
  <si>
    <t>RESULT</t>
  </si>
  <si>
    <t>A1C</t>
  </si>
  <si>
    <t>%</t>
  </si>
  <si>
    <t>mg/dL</t>
  </si>
  <si>
    <t>&lt;100</t>
  </si>
  <si>
    <t>μU/mL</t>
  </si>
  <si>
    <t>PRESIÓN ARTERIAL</t>
  </si>
  <si>
    <t>PAS</t>
  </si>
  <si>
    <t>mmHg</t>
  </si>
  <si>
    <t>PAD</t>
  </si>
  <si>
    <t>METABOLISMO DE LIPIDOS</t>
  </si>
  <si>
    <t>PARÁMETRO</t>
  </si>
  <si>
    <t>C</t>
  </si>
  <si>
    <t xml:space="preserve">T </t>
  </si>
  <si>
    <t>Apo B-100</t>
  </si>
  <si>
    <t>Apo A1</t>
  </si>
  <si>
    <t>Colesterol no-HDL (mg/dL)</t>
  </si>
  <si>
    <t>100-129</t>
  </si>
  <si>
    <t>130-159</t>
  </si>
  <si>
    <t>160-189</t>
  </si>
  <si>
    <t>190-219</t>
  </si>
  <si>
    <t>≥220</t>
  </si>
  <si>
    <t>50-56</t>
  </si>
  <si>
    <t>57-61</t>
  </si>
  <si>
    <t>62-66</t>
  </si>
  <si>
    <t>67-71</t>
  </si>
  <si>
    <t>72-75</t>
  </si>
  <si>
    <t>76-79</t>
  </si>
  <si>
    <t>80-83</t>
  </si>
  <si>
    <t>84-87</t>
  </si>
  <si>
    <t>88-92</t>
  </si>
  <si>
    <t>93-96</t>
  </si>
  <si>
    <t>97-100</t>
  </si>
  <si>
    <t>101-105</t>
  </si>
  <si>
    <t>106-110</t>
  </si>
  <si>
    <t>111-115</t>
  </si>
  <si>
    <t>116-120</t>
  </si>
  <si>
    <t>121-126</t>
  </si>
  <si>
    <t>127-132</t>
  </si>
  <si>
    <t>133-138</t>
  </si>
  <si>
    <t>139-146</t>
  </si>
  <si>
    <t>147-154</t>
  </si>
  <si>
    <t>155-163</t>
  </si>
  <si>
    <t>164-173</t>
  </si>
  <si>
    <t>174-185</t>
  </si>
  <si>
    <t>186-201</t>
  </si>
  <si>
    <t>202-220</t>
  </si>
  <si>
    <t>221-247</t>
  </si>
  <si>
    <t>248-292</t>
  </si>
  <si>
    <t>293-399</t>
  </si>
  <si>
    <t>7 - 49</t>
  </si>
  <si>
    <t>mmol/L</t>
  </si>
  <si>
    <t>ng/mL</t>
  </si>
  <si>
    <t>mg/L</t>
  </si>
  <si>
    <t>FUNCIÓN RENAL</t>
  </si>
  <si>
    <t>SANGRE</t>
  </si>
  <si>
    <t>+</t>
  </si>
  <si>
    <t>ID:</t>
  </si>
  <si>
    <t>PCR-hs</t>
  </si>
  <si>
    <t>e</t>
  </si>
  <si>
    <t>GGT</t>
  </si>
  <si>
    <t>U/L 37ºC</t>
  </si>
  <si>
    <t>y</t>
  </si>
  <si>
    <t>FLI</t>
  </si>
  <si>
    <t>REACTANTES DE FASE AGUDA</t>
  </si>
  <si>
    <r>
      <t>Na</t>
    </r>
    <r>
      <rPr>
        <vertAlign val="superscript"/>
        <sz val="11"/>
        <color theme="1"/>
        <rFont val="Arial"/>
        <family val="2"/>
      </rPr>
      <t>+</t>
    </r>
  </si>
  <si>
    <r>
      <t>K</t>
    </r>
    <r>
      <rPr>
        <vertAlign val="superscript"/>
        <sz val="11"/>
        <color theme="1"/>
        <rFont val="Arial"/>
        <family val="2"/>
      </rPr>
      <t>+</t>
    </r>
  </si>
  <si>
    <r>
      <t>e</t>
    </r>
    <r>
      <rPr>
        <vertAlign val="superscript"/>
        <sz val="11"/>
        <rFont val="Arial"/>
        <family val="2"/>
      </rPr>
      <t>y</t>
    </r>
  </si>
  <si>
    <r>
      <t>1+e</t>
    </r>
    <r>
      <rPr>
        <vertAlign val="superscript"/>
        <sz val="11"/>
        <rFont val="Arial"/>
        <family val="2"/>
      </rPr>
      <t>y</t>
    </r>
  </si>
  <si>
    <r>
      <t>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*100</t>
    </r>
  </si>
  <si>
    <r>
      <t>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*100/(1+e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)</t>
    </r>
  </si>
  <si>
    <t>Edad</t>
  </si>
  <si>
    <t>Peso</t>
  </si>
  <si>
    <t>Talla</t>
  </si>
  <si>
    <t>Perímetro cintura</t>
  </si>
  <si>
    <t>Pliegue tricipital</t>
  </si>
  <si>
    <t>Homocisteina (Hcy)</t>
  </si>
  <si>
    <t>Prot amiloide A sérica (SAA)</t>
  </si>
  <si>
    <t>Creatinina (CR)</t>
  </si>
  <si>
    <t xml:space="preserve">Albúmina (ALB) </t>
  </si>
  <si>
    <t>ORINA OCASIONAL</t>
  </si>
  <si>
    <r>
      <t>G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basal</t>
    </r>
  </si>
  <si>
    <t>Insulina basal (INS)</t>
  </si>
  <si>
    <t>IBR</t>
  </si>
  <si>
    <t>-</t>
  </si>
  <si>
    <t>&lt;200</t>
  </si>
  <si>
    <t>Peso óptimo (Broca)</t>
  </si>
  <si>
    <t>&lt;150</t>
  </si>
  <si>
    <t>&lt;30</t>
  </si>
  <si>
    <t>IMC</t>
  </si>
  <si>
    <r>
      <t>kg/m</t>
    </r>
    <r>
      <rPr>
        <vertAlign val="superscript"/>
        <sz val="11"/>
        <color theme="1"/>
        <rFont val="Arial"/>
        <family val="2"/>
      </rPr>
      <t>2</t>
    </r>
  </si>
  <si>
    <t>94-178</t>
  </si>
  <si>
    <t>0,43-0,52</t>
  </si>
  <si>
    <t>≤4,5</t>
  </si>
  <si>
    <t>7,5-21,0</t>
  </si>
  <si>
    <t>&lt;3,0</t>
  </si>
  <si>
    <t>&lt;0,11</t>
  </si>
  <si>
    <t>Ratio ApoB-100/ApoA1</t>
  </si>
  <si>
    <t>&lt;0,9</t>
  </si>
  <si>
    <t>&lt;114</t>
  </si>
  <si>
    <t>RESISTENCIA INSULÍNICA</t>
  </si>
  <si>
    <t xml:space="preserve"> REACTANTES DE FASE AGUDA</t>
  </si>
  <si>
    <t>HOMA-RI</t>
  </si>
  <si>
    <t>≤15,0</t>
  </si>
  <si>
    <t>0,70-1,30</t>
  </si>
  <si>
    <t>Amiloide sérico A (SAA)</t>
  </si>
  <si>
    <t>&lt;10</t>
  </si>
  <si>
    <t>QUICKI</t>
  </si>
  <si>
    <t>≥0,33</t>
  </si>
  <si>
    <t>135-145</t>
  </si>
  <si>
    <t>&lt;350</t>
  </si>
  <si>
    <t>3,5-5,0</t>
  </si>
  <si>
    <t>&lt;1,0</t>
  </si>
  <si>
    <r>
      <t>mL/min/1,73m</t>
    </r>
    <r>
      <rPr>
        <vertAlign val="superscript"/>
        <sz val="11"/>
        <color theme="1"/>
        <rFont val="Arial"/>
        <family val="2"/>
      </rPr>
      <t>2</t>
    </r>
  </si>
  <si>
    <t>&lt;20</t>
  </si>
  <si>
    <t>40-280</t>
  </si>
  <si>
    <t>mg/g</t>
  </si>
  <si>
    <t>FRCV</t>
  </si>
  <si>
    <t>PUNTOS DEL PACIENTE</t>
  </si>
  <si>
    <t>TOTAL</t>
  </si>
  <si>
    <t>OBESIDAD</t>
  </si>
  <si>
    <t>RESIST. INSULINA</t>
  </si>
  <si>
    <t>METAB. GLUCOSA</t>
  </si>
  <si>
    <t>METAB. LÍPIDOS</t>
  </si>
  <si>
    <t>REACT. FASE AGUDA</t>
  </si>
  <si>
    <t>&gt;40</t>
  </si>
  <si>
    <t>&lt;80</t>
  </si>
  <si>
    <t>≤100</t>
  </si>
  <si>
    <t>0,60-1,00</t>
  </si>
  <si>
    <t>29-226</t>
  </si>
  <si>
    <t>TyG (Índ. Triglicéridos y Glucosa)</t>
  </si>
  <si>
    <t>18,5-24,9</t>
  </si>
  <si>
    <t>&lt;94</t>
  </si>
  <si>
    <t>14-26</t>
  </si>
  <si>
    <t>5,4-5,6</t>
  </si>
  <si>
    <t>&lt;1,99</t>
  </si>
  <si>
    <t>0,35-0,45</t>
  </si>
  <si>
    <t>&lt;4,5</t>
  </si>
  <si>
    <t>2,6-10,0</t>
  </si>
  <si>
    <t xml:space="preserve">Ratio Cintura/ Altura (ICA)  </t>
  </si>
  <si>
    <t>Ratio C/ HDLc</t>
  </si>
  <si>
    <t>No-HDLc</t>
  </si>
  <si>
    <r>
      <t>VLDLc</t>
    </r>
    <r>
      <rPr>
        <vertAlign val="subscript"/>
        <sz val="11"/>
        <color theme="1"/>
        <rFont val="Arial"/>
        <family val="2"/>
      </rPr>
      <t>Martin-Hopkins</t>
    </r>
  </si>
  <si>
    <t>TG</t>
  </si>
  <si>
    <t>HDLc</t>
  </si>
  <si>
    <t>LDLc</t>
  </si>
  <si>
    <t>95-180</t>
  </si>
  <si>
    <t>&gt;50</t>
  </si>
  <si>
    <t>&lt;130</t>
  </si>
  <si>
    <t>&lt;116</t>
  </si>
  <si>
    <t>66-144</t>
  </si>
  <si>
    <t xml:space="preserve">TG </t>
  </si>
  <si>
    <t>Ratio TG/ HDLc</t>
  </si>
  <si>
    <t>Ratio log TG/ HDLc (AIP)</t>
  </si>
  <si>
    <t>60-141</t>
  </si>
  <si>
    <t>&lt;0,8</t>
  </si>
  <si>
    <t>&lt;120</t>
  </si>
  <si>
    <t>Ratio ALB/ CR (Microalbumina)</t>
  </si>
  <si>
    <t>200-400</t>
  </si>
  <si>
    <t>Lp(a) (Lipoproteína a)</t>
  </si>
  <si>
    <t>FLI (Fatty liver index)</t>
  </si>
  <si>
    <t>VAI (Visceral Adiposity Index)</t>
  </si>
  <si>
    <t>PESO</t>
  </si>
  <si>
    <t>EPIDEMIOLOGICO</t>
  </si>
  <si>
    <t>RCV</t>
  </si>
  <si>
    <t>A 10 AÑOS</t>
  </si>
  <si>
    <t>PUNTOS</t>
  </si>
  <si>
    <t xml:space="preserve"> ASIGNADOS</t>
  </si>
  <si>
    <t>AL FRCV</t>
  </si>
  <si>
    <t>ACTUAL</t>
  </si>
  <si>
    <t>Altura</t>
  </si>
  <si>
    <t>Lp(a)</t>
  </si>
  <si>
    <t>Ferritina</t>
  </si>
  <si>
    <t>Fibrinógeno</t>
  </si>
  <si>
    <t>RESULTADOS</t>
  </si>
  <si>
    <r>
      <t>VLDLc</t>
    </r>
    <r>
      <rPr>
        <b/>
        <vertAlign val="subscript"/>
        <sz val="11"/>
        <color theme="1"/>
        <rFont val="Arial"/>
        <family val="2"/>
      </rPr>
      <t>Martin-Hopkins</t>
    </r>
  </si>
  <si>
    <r>
      <t>Na</t>
    </r>
    <r>
      <rPr>
        <b/>
        <vertAlign val="superscript"/>
        <sz val="11"/>
        <color theme="1"/>
        <rFont val="Arial"/>
        <family val="2"/>
      </rPr>
      <t>+</t>
    </r>
  </si>
  <si>
    <r>
      <t>K</t>
    </r>
    <r>
      <rPr>
        <b/>
        <vertAlign val="superscript"/>
        <sz val="11"/>
        <color theme="1"/>
        <rFont val="Arial"/>
        <family val="2"/>
      </rPr>
      <t>+</t>
    </r>
  </si>
  <si>
    <t xml:space="preserve"> </t>
  </si>
  <si>
    <t>INICIO</t>
  </si>
  <si>
    <t>CLASIFICACIÓN DEL RIESGO</t>
  </si>
  <si>
    <t>Gpm</t>
  </si>
  <si>
    <t xml:space="preserve">Factor de Martin-Hopkins: </t>
  </si>
  <si>
    <r>
      <t xml:space="preserve">u </t>
    </r>
    <r>
      <rPr>
        <b/>
        <sz val="11"/>
        <color theme="0"/>
        <rFont val="Arial"/>
        <family val="2"/>
      </rPr>
      <t>Clic en +</t>
    </r>
  </si>
  <si>
    <t>INTRODUCIR RESULTADOS</t>
  </si>
  <si>
    <t>G basal</t>
  </si>
  <si>
    <t>è</t>
  </si>
  <si>
    <t>RCV HOMBRES</t>
  </si>
  <si>
    <t>RCV MUJERES</t>
  </si>
  <si>
    <t>RIESGO CARDIOVASCULAR HOMBRES</t>
  </si>
  <si>
    <t>RIESGO CARDIOVASCULAR MUJERES</t>
  </si>
  <si>
    <t>Factor para fórmula de Martin-Hopkins en VLDL</t>
  </si>
  <si>
    <t>VOLVER A RESULTADOS E INTRODUCIR EL FACTOR</t>
  </si>
  <si>
    <t>Triglicéridos (mg/dL)</t>
  </si>
  <si>
    <r>
      <t>eTFG</t>
    </r>
    <r>
      <rPr>
        <b/>
        <sz val="8"/>
        <color theme="1"/>
        <rFont val="Arial"/>
        <family val="2"/>
      </rPr>
      <t>(CKD-EPI)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</si>
</sst>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_ ;\-#,##0\ "/>
    <numFmt numFmtId="166" formatCode="0.0000"/>
    <numFmt numFmtId="167" formatCode="_-* #,##0_-;\-* #,##0_-;_-* &quot;-&quot;??_-;_-@_-"/>
    <numFmt numFmtId="168" formatCode="#,##0.0_ ;\-#,##0.0\ "/>
  </numFmts>
  <fonts count="66" x14ac:knownFonts="1">
    <font>
      <sz val="11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Wingdings 3"/>
      <family val="1"/>
      <charset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b/>
      <vertAlign val="subscript"/>
      <sz val="11"/>
      <color indexed="81"/>
      <name val="Tahoma"/>
      <family val="2"/>
    </font>
    <font>
      <b/>
      <vertAlign val="subscript"/>
      <sz val="12"/>
      <color indexed="81"/>
      <name val="Tahoma"/>
      <family val="2"/>
    </font>
    <font>
      <b/>
      <sz val="12"/>
      <color indexed="81"/>
      <name val="Arial"/>
      <family val="2"/>
    </font>
    <font>
      <sz val="9"/>
      <color indexed="81"/>
      <name val="Arial"/>
      <family val="2"/>
    </font>
    <font>
      <sz val="12"/>
      <color theme="1"/>
      <name val="Arial"/>
      <family val="2"/>
    </font>
    <font>
      <sz val="11"/>
      <name val="Tahoma"/>
      <family val="2"/>
    </font>
    <font>
      <b/>
      <i/>
      <sz val="9"/>
      <color indexed="81"/>
      <name val="Tahoma"/>
      <family val="2"/>
    </font>
    <font>
      <b/>
      <i/>
      <vertAlign val="subscript"/>
      <sz val="9"/>
      <color indexed="81"/>
      <name val="Tahoma"/>
      <family val="2"/>
    </font>
    <font>
      <sz val="8"/>
      <color indexed="81"/>
      <name val="Tahoma"/>
      <family val="2"/>
    </font>
    <font>
      <b/>
      <vertAlign val="superscript"/>
      <sz val="9"/>
      <color indexed="81"/>
      <name val="Tahoma"/>
      <family val="2"/>
    </font>
    <font>
      <b/>
      <vertAlign val="subscript"/>
      <sz val="9"/>
      <color indexed="81"/>
      <name val="Tahoma"/>
      <family val="2"/>
    </font>
    <font>
      <vertAlign val="subscript"/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vertAlign val="subscript"/>
      <sz val="10"/>
      <color indexed="81"/>
      <name val="Tahoma"/>
      <family val="2"/>
    </font>
    <font>
      <b/>
      <vertAlign val="superscript"/>
      <sz val="11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0066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1"/>
      <color theme="1"/>
      <name val="Tahoma"/>
      <family val="2"/>
    </font>
    <font>
      <i/>
      <sz val="11"/>
      <color theme="1"/>
      <name val="Arial"/>
      <family val="2"/>
    </font>
    <font>
      <b/>
      <sz val="11"/>
      <color rgb="FF008000"/>
      <name val="Arial"/>
      <family val="2"/>
    </font>
    <font>
      <sz val="11"/>
      <color rgb="FF0033CC"/>
      <name val="Wingdings"/>
      <charset val="2"/>
    </font>
    <font>
      <sz val="11"/>
      <color rgb="FF0033CC"/>
      <name val="Tahoma"/>
      <family val="2"/>
    </font>
    <font>
      <b/>
      <sz val="10"/>
      <color theme="0"/>
      <name val="Arial"/>
      <family val="2"/>
    </font>
    <font>
      <sz val="11"/>
      <color theme="8" tint="-0.249977111117893"/>
      <name val="Wingdings"/>
      <charset val="2"/>
    </font>
    <font>
      <sz val="11"/>
      <color theme="8" tint="-0.249977111117893"/>
      <name val="Tahoma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FD8FF"/>
        <bgColor indexed="64"/>
      </patternFill>
    </fill>
    <fill>
      <patternFill patternType="solid">
        <fgColor rgb="FF61CBF3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E49E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EDBDE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4343FF"/>
        <bgColor indexed="64"/>
      </patternFill>
    </fill>
    <fill>
      <gradientFill degree="90">
        <stop position="0">
          <color rgb="FF0033CC"/>
        </stop>
        <stop position="1">
          <color rgb="FF4343FF"/>
        </stop>
      </gradientFill>
    </fill>
    <fill>
      <gradientFill degree="90">
        <stop position="0">
          <color rgb="FF009900"/>
        </stop>
        <stop position="1">
          <color rgb="FF008000"/>
        </stop>
      </gradientFill>
    </fill>
    <fill>
      <gradientFill degree="90">
        <stop position="0">
          <color theme="8" tint="-0.25098422193060094"/>
        </stop>
        <stop position="1">
          <color theme="8" tint="-0.25098422193060094"/>
        </stop>
      </gradientFill>
    </fill>
    <fill>
      <patternFill patternType="solid">
        <fgColor rgb="FF00206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4">
    <xf numFmtId="0" fontId="0" fillId="0" borderId="0" xfId="0"/>
    <xf numFmtId="165" fontId="9" fillId="15" borderId="2" xfId="6" applyNumberFormat="1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10" borderId="6" xfId="0" applyFont="1" applyFill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/>
    </xf>
    <xf numFmtId="164" fontId="12" fillId="0" borderId="18" xfId="0" applyNumberFormat="1" applyFont="1" applyBorder="1" applyAlignment="1" applyProtection="1">
      <alignment horizontal="center" vertical="center"/>
      <protection locked="0"/>
    </xf>
    <xf numFmtId="2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0" fontId="9" fillId="10" borderId="2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left" vertical="center"/>
    </xf>
    <xf numFmtId="0" fontId="5" fillId="10" borderId="9" xfId="0" applyFont="1" applyFill="1" applyBorder="1" applyAlignment="1">
      <alignment horizontal="center" vertical="center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0" fontId="9" fillId="10" borderId="8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0" fontId="9" fillId="10" borderId="6" xfId="0" applyFont="1" applyFill="1" applyBorder="1" applyAlignment="1">
      <alignment horizontal="left" vertical="center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20" xfId="0" applyNumberFormat="1" applyFont="1" applyBorder="1" applyAlignment="1" applyProtection="1">
      <alignment horizontal="center" vertical="center"/>
      <protection locked="0"/>
    </xf>
    <xf numFmtId="1" fontId="12" fillId="0" borderId="19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right"/>
    </xf>
    <xf numFmtId="167" fontId="9" fillId="0" borderId="0" xfId="6" applyNumberFormat="1" applyFont="1" applyProtection="1"/>
    <xf numFmtId="2" fontId="5" fillId="10" borderId="0" xfId="0" applyNumberFormat="1" applyFont="1" applyFill="1" applyAlignment="1">
      <alignment horizontal="center"/>
    </xf>
    <xf numFmtId="0" fontId="5" fillId="10" borderId="0" xfId="0" applyFont="1" applyFill="1"/>
    <xf numFmtId="166" fontId="5" fillId="10" borderId="0" xfId="0" applyNumberFormat="1" applyFont="1" applyFill="1" applyAlignment="1">
      <alignment horizontal="center"/>
    </xf>
    <xf numFmtId="2" fontId="5" fillId="10" borderId="0" xfId="0" applyNumberFormat="1" applyFont="1" applyFill="1" applyAlignment="1">
      <alignment horizontal="center" vertical="center"/>
    </xf>
    <xf numFmtId="0" fontId="9" fillId="11" borderId="6" xfId="0" applyFont="1" applyFill="1" applyBorder="1" applyAlignment="1">
      <alignment horizontal="left" vertical="center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5" fillId="11" borderId="6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7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13" borderId="0" xfId="0" applyFont="1" applyFill="1" applyAlignment="1">
      <alignment horizontal="center" vertical="center"/>
    </xf>
    <xf numFmtId="1" fontId="8" fillId="13" borderId="20" xfId="0" applyNumberFormat="1" applyFont="1" applyFill="1" applyBorder="1" applyAlignment="1">
      <alignment horizontal="center" vertical="center"/>
    </xf>
    <xf numFmtId="1" fontId="12" fillId="13" borderId="21" xfId="0" applyNumberFormat="1" applyFont="1" applyFill="1" applyBorder="1" applyAlignment="1">
      <alignment horizontal="center" vertical="center"/>
    </xf>
    <xf numFmtId="0" fontId="34" fillId="15" borderId="0" xfId="0" applyFont="1" applyFill="1" applyAlignment="1">
      <alignment horizontal="center" vertical="center"/>
    </xf>
    <xf numFmtId="0" fontId="0" fillId="0" borderId="0" xfId="0"/>
    <xf numFmtId="165" fontId="33" fillId="6" borderId="2" xfId="5" applyNumberFormat="1" applyFont="1" applyFill="1" applyBorder="1" applyAlignment="1" applyProtection="1">
      <alignment horizontal="center" vertical="center"/>
    </xf>
    <xf numFmtId="164" fontId="15" fillId="23" borderId="10" xfId="0" applyNumberFormat="1" applyFont="1" applyFill="1" applyBorder="1" applyAlignment="1" applyProtection="1">
      <alignment horizontal="center" vertical="center"/>
      <protection locked="0"/>
    </xf>
    <xf numFmtId="0" fontId="0" fillId="15" borderId="0" xfId="0" applyFill="1" applyBorder="1" applyAlignment="1">
      <alignment vertical="center"/>
    </xf>
    <xf numFmtId="0" fontId="0" fillId="15" borderId="0" xfId="0" applyFill="1" applyBorder="1"/>
    <xf numFmtId="0" fontId="52" fillId="0" borderId="0" xfId="0" applyFont="1" applyProtection="1">
      <protection locked="0"/>
    </xf>
    <xf numFmtId="164" fontId="53" fillId="3" borderId="2" xfId="0" applyNumberFormat="1" applyFont="1" applyFill="1" applyBorder="1" applyAlignment="1">
      <alignment horizontal="center" vertical="center"/>
    </xf>
    <xf numFmtId="164" fontId="53" fillId="4" borderId="2" xfId="0" applyNumberFormat="1" applyFont="1" applyFill="1" applyBorder="1" applyAlignment="1">
      <alignment horizontal="center" vertical="center"/>
    </xf>
    <xf numFmtId="164" fontId="53" fillId="5" borderId="2" xfId="0" applyNumberFormat="1" applyFont="1" applyFill="1" applyBorder="1" applyAlignment="1">
      <alignment horizontal="center" vertical="center"/>
    </xf>
    <xf numFmtId="0" fontId="52" fillId="0" borderId="0" xfId="0" applyFont="1"/>
    <xf numFmtId="10" fontId="55" fillId="27" borderId="44" xfId="7" applyNumberFormat="1" applyFont="1" applyFill="1" applyBorder="1" applyAlignment="1" applyProtection="1">
      <alignment horizontal="center" vertical="center"/>
    </xf>
    <xf numFmtId="0" fontId="0" fillId="0" borderId="0" xfId="0"/>
    <xf numFmtId="0" fontId="19" fillId="9" borderId="7" xfId="0" applyFont="1" applyFill="1" applyBorder="1" applyAlignment="1">
      <alignment horizontal="left" vertical="center"/>
    </xf>
    <xf numFmtId="0" fontId="20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1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5" fillId="14" borderId="0" xfId="0" applyFont="1" applyFill="1" applyAlignment="1" applyProtection="1">
      <alignment horizontal="left" vertical="center"/>
      <protection locked="0"/>
    </xf>
    <xf numFmtId="1" fontId="11" fillId="0" borderId="0" xfId="0" applyNumberFormat="1" applyFont="1" applyAlignment="1" applyProtection="1">
      <alignment horizontal="left" vertical="center"/>
      <protection locked="0"/>
    </xf>
    <xf numFmtId="168" fontId="14" fillId="0" borderId="0" xfId="6" applyNumberFormat="1" applyFont="1" applyAlignment="1" applyProtection="1">
      <alignment horizontal="left" vertical="center"/>
      <protection locked="0"/>
    </xf>
    <xf numFmtId="168" fontId="12" fillId="14" borderId="0" xfId="6" applyNumberFormat="1" applyFont="1" applyFill="1" applyAlignment="1" applyProtection="1">
      <alignment horizontal="left" vertical="center"/>
      <protection locked="0"/>
    </xf>
    <xf numFmtId="0" fontId="5" fillId="14" borderId="0" xfId="0" quotePrefix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quotePrefix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14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14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21" fillId="14" borderId="0" xfId="0" applyFont="1" applyFill="1" applyAlignment="1" applyProtection="1">
      <alignment vertical="center"/>
      <protection locked="0"/>
    </xf>
    <xf numFmtId="1" fontId="5" fillId="14" borderId="0" xfId="0" applyNumberFormat="1" applyFont="1" applyFill="1" applyAlignment="1" applyProtection="1">
      <alignment horizontal="left" vertical="center"/>
      <protection locked="0"/>
    </xf>
    <xf numFmtId="0" fontId="5" fillId="14" borderId="0" xfId="0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14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6" fillId="0" borderId="5" xfId="7" applyFont="1" applyBorder="1" applyAlignment="1" applyProtection="1">
      <alignment horizontal="center" vertical="center"/>
    </xf>
    <xf numFmtId="0" fontId="0" fillId="0" borderId="0" xfId="0"/>
    <xf numFmtId="0" fontId="5" fillId="10" borderId="0" xfId="0" applyFont="1" applyFill="1" applyAlignment="1">
      <alignment horizontal="center" vertical="center"/>
    </xf>
    <xf numFmtId="0" fontId="8" fillId="0" borderId="33" xfId="4" applyFont="1" applyBorder="1" applyAlignment="1" applyProtection="1">
      <alignment horizontal="left" vertical="center"/>
    </xf>
    <xf numFmtId="165" fontId="8" fillId="0" borderId="34" xfId="4" applyNumberFormat="1" applyFont="1" applyBorder="1" applyAlignment="1" applyProtection="1">
      <alignment horizontal="center" vertical="center"/>
    </xf>
    <xf numFmtId="165" fontId="8" fillId="0" borderId="37" xfId="4" applyNumberFormat="1" applyFont="1" applyBorder="1" applyAlignment="1" applyProtection="1">
      <alignment horizontal="center" vertical="center"/>
    </xf>
    <xf numFmtId="9" fontId="8" fillId="0" borderId="19" xfId="2" applyNumberFormat="1" applyFont="1" applyBorder="1" applyAlignment="1" applyProtection="1">
      <alignment horizontal="center" vertical="center"/>
    </xf>
    <xf numFmtId="0" fontId="8" fillId="0" borderId="0" xfId="2" applyFont="1" applyProtection="1"/>
    <xf numFmtId="0" fontId="8" fillId="17" borderId="29" xfId="2" applyFont="1" applyFill="1" applyBorder="1" applyAlignment="1" applyProtection="1">
      <alignment horizontal="center" vertical="center" wrapText="1"/>
    </xf>
    <xf numFmtId="0" fontId="9" fillId="0" borderId="0" xfId="4" applyFont="1" applyProtection="1"/>
    <xf numFmtId="0" fontId="9" fillId="21" borderId="0" xfId="4" applyFont="1" applyFill="1" applyAlignment="1" applyProtection="1">
      <alignment horizontal="center" vertical="center"/>
    </xf>
    <xf numFmtId="0" fontId="9" fillId="16" borderId="7" xfId="4" quotePrefix="1" applyFont="1" applyFill="1" applyBorder="1" applyAlignment="1" applyProtection="1">
      <alignment horizontal="center" vertical="center"/>
    </xf>
    <xf numFmtId="0" fontId="9" fillId="14" borderId="0" xfId="4" applyFont="1" applyFill="1" applyProtection="1"/>
    <xf numFmtId="0" fontId="8" fillId="0" borderId="6" xfId="4" applyFont="1" applyBorder="1" applyAlignment="1" applyProtection="1">
      <alignment horizontal="left" vertical="center"/>
    </xf>
    <xf numFmtId="0" fontId="9" fillId="16" borderId="7" xfId="4" applyFont="1" applyFill="1" applyBorder="1" applyAlignment="1" applyProtection="1">
      <alignment horizontal="center" vertical="center"/>
    </xf>
    <xf numFmtId="0" fontId="9" fillId="0" borderId="0" xfId="4" applyFont="1" applyAlignment="1" applyProtection="1">
      <alignment horizontal="left" vertical="center"/>
    </xf>
    <xf numFmtId="0" fontId="9" fillId="14" borderId="0" xfId="4" applyFont="1" applyFill="1" applyAlignment="1" applyProtection="1">
      <alignment horizontal="left" vertical="center"/>
    </xf>
    <xf numFmtId="0" fontId="8" fillId="0" borderId="4" xfId="4" applyFont="1" applyBorder="1" applyAlignment="1" applyProtection="1">
      <alignment horizontal="left" vertical="center"/>
    </xf>
    <xf numFmtId="165" fontId="8" fillId="0" borderId="13" xfId="4" applyNumberFormat="1" applyFont="1" applyBorder="1" applyAlignment="1" applyProtection="1">
      <alignment horizontal="center" vertical="center"/>
    </xf>
    <xf numFmtId="9" fontId="8" fillId="0" borderId="21" xfId="2" applyNumberFormat="1" applyFont="1" applyBorder="1" applyAlignment="1" applyProtection="1">
      <alignment horizontal="center" vertical="center"/>
    </xf>
    <xf numFmtId="9" fontId="9" fillId="0" borderId="5" xfId="4" applyNumberFormat="1" applyFont="1" applyBorder="1" applyAlignment="1" applyProtection="1">
      <alignment horizontal="center" vertical="center"/>
    </xf>
    <xf numFmtId="9" fontId="8" fillId="0" borderId="18" xfId="2" applyNumberFormat="1" applyFont="1" applyBorder="1" applyAlignment="1" applyProtection="1">
      <alignment horizontal="center" vertical="center"/>
    </xf>
    <xf numFmtId="168" fontId="9" fillId="0" borderId="0" xfId="4" applyNumberFormat="1" applyFont="1" applyAlignment="1" applyProtection="1">
      <alignment horizontal="left" vertical="center"/>
    </xf>
    <xf numFmtId="168" fontId="9" fillId="14" borderId="0" xfId="4" applyNumberFormat="1" applyFont="1" applyFill="1" applyAlignment="1" applyProtection="1">
      <alignment horizontal="left" vertical="center"/>
    </xf>
    <xf numFmtId="0" fontId="8" fillId="0" borderId="4" xfId="4" applyFont="1" applyBorder="1" applyAlignment="1" applyProtection="1">
      <alignment vertical="center"/>
    </xf>
    <xf numFmtId="0" fontId="9" fillId="16" borderId="5" xfId="4" applyFont="1" applyFill="1" applyBorder="1" applyAlignment="1" applyProtection="1">
      <alignment horizontal="center" vertical="center"/>
    </xf>
    <xf numFmtId="9" fontId="9" fillId="0" borderId="29" xfId="4" applyNumberFormat="1" applyFont="1" applyBorder="1" applyAlignment="1" applyProtection="1">
      <alignment horizontal="center" vertical="center"/>
    </xf>
    <xf numFmtId="0" fontId="8" fillId="0" borderId="0" xfId="2" applyFont="1" applyAlignment="1" applyProtection="1">
      <alignment vertical="center"/>
    </xf>
    <xf numFmtId="0" fontId="9" fillId="0" borderId="0" xfId="4" applyFont="1" applyAlignment="1" applyProtection="1">
      <alignment horizontal="center" vertical="center"/>
    </xf>
    <xf numFmtId="1" fontId="9" fillId="0" borderId="2" xfId="4" applyNumberFormat="1" applyFont="1" applyBorder="1" applyAlignment="1" applyProtection="1">
      <alignment horizontal="center" vertical="center"/>
    </xf>
    <xf numFmtId="0" fontId="9" fillId="0" borderId="0" xfId="4" applyFont="1" applyAlignment="1" applyProtection="1">
      <alignment vertical="center"/>
    </xf>
    <xf numFmtId="0" fontId="9" fillId="14" borderId="0" xfId="4" applyFont="1" applyFill="1" applyAlignment="1" applyProtection="1">
      <alignment vertical="center"/>
    </xf>
    <xf numFmtId="0" fontId="8" fillId="21" borderId="8" xfId="4" applyFont="1" applyFill="1" applyBorder="1" applyAlignment="1" applyProtection="1">
      <alignment horizontal="left" vertical="center"/>
    </xf>
    <xf numFmtId="0" fontId="9" fillId="16" borderId="29" xfId="4" applyFont="1" applyFill="1" applyBorder="1" applyAlignment="1" applyProtection="1">
      <alignment horizontal="center" vertical="center"/>
    </xf>
    <xf numFmtId="0" fontId="9" fillId="0" borderId="0" xfId="4" quotePrefix="1" applyFont="1" applyAlignment="1" applyProtection="1">
      <alignment horizontal="left" vertical="center"/>
    </xf>
    <xf numFmtId="0" fontId="9" fillId="14" borderId="0" xfId="4" quotePrefix="1" applyFont="1" applyFill="1" applyAlignment="1" applyProtection="1">
      <alignment horizontal="left" vertical="center"/>
    </xf>
    <xf numFmtId="0" fontId="58" fillId="0" borderId="0" xfId="3" applyFont="1" applyProtection="1"/>
    <xf numFmtId="0" fontId="58" fillId="0" borderId="0" xfId="3" applyFont="1" applyAlignment="1" applyProtection="1">
      <alignment horizontal="left" vertical="center"/>
    </xf>
    <xf numFmtId="0" fontId="58" fillId="14" borderId="0" xfId="3" applyFont="1" applyFill="1" applyAlignment="1" applyProtection="1">
      <alignment horizontal="left" vertical="center"/>
    </xf>
    <xf numFmtId="0" fontId="58" fillId="0" borderId="0" xfId="3" applyFont="1" applyAlignment="1" applyProtection="1">
      <alignment horizontal="left"/>
    </xf>
    <xf numFmtId="0" fontId="58" fillId="14" borderId="0" xfId="3" applyFont="1" applyFill="1" applyAlignment="1" applyProtection="1">
      <alignment horizontal="left"/>
    </xf>
    <xf numFmtId="0" fontId="8" fillId="0" borderId="0" xfId="1" applyFont="1" applyProtection="1"/>
    <xf numFmtId="0" fontId="8" fillId="0" borderId="0" xfId="1" applyFont="1" applyAlignment="1" applyProtection="1">
      <alignment horizontal="left" vertical="center"/>
    </xf>
    <xf numFmtId="0" fontId="8" fillId="14" borderId="0" xfId="1" applyFont="1" applyFill="1" applyAlignment="1" applyProtection="1">
      <alignment horizontal="left" vertical="center"/>
    </xf>
    <xf numFmtId="0" fontId="8" fillId="12" borderId="4" xfId="1" applyFont="1" applyFill="1" applyBorder="1" applyAlignment="1" applyProtection="1">
      <alignment horizontal="center" vertical="center"/>
    </xf>
    <xf numFmtId="0" fontId="8" fillId="12" borderId="5" xfId="1" applyFont="1" applyFill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center" vertical="center"/>
    </xf>
    <xf numFmtId="0" fontId="8" fillId="21" borderId="33" xfId="4" applyFont="1" applyFill="1" applyBorder="1" applyAlignment="1" applyProtection="1">
      <alignment horizontal="left" vertical="center"/>
    </xf>
    <xf numFmtId="0" fontId="9" fillId="16" borderId="35" xfId="4" applyFont="1" applyFill="1" applyBorder="1" applyAlignment="1" applyProtection="1">
      <alignment horizontal="center" vertical="center"/>
    </xf>
    <xf numFmtId="0" fontId="8" fillId="0" borderId="8" xfId="3" applyFont="1" applyBorder="1" applyAlignment="1" applyProtection="1">
      <alignment horizontal="left" vertical="center"/>
    </xf>
    <xf numFmtId="0" fontId="58" fillId="0" borderId="32" xfId="3" applyFont="1" applyBorder="1" applyAlignment="1" applyProtection="1">
      <alignment horizontal="center" vertical="center"/>
    </xf>
    <xf numFmtId="1" fontId="58" fillId="0" borderId="0" xfId="3" applyNumberFormat="1" applyFont="1" applyAlignment="1" applyProtection="1">
      <alignment horizontal="left" vertical="center"/>
    </xf>
    <xf numFmtId="1" fontId="58" fillId="14" borderId="0" xfId="3" applyNumberFormat="1" applyFont="1" applyFill="1" applyAlignment="1" applyProtection="1">
      <alignment horizontal="left" vertical="center"/>
    </xf>
    <xf numFmtId="1" fontId="8" fillId="0" borderId="0" xfId="1" applyNumberFormat="1" applyFont="1" applyAlignment="1" applyProtection="1">
      <alignment horizontal="left" vertical="center"/>
    </xf>
    <xf numFmtId="1" fontId="8" fillId="14" borderId="0" xfId="1" applyNumberFormat="1" applyFont="1" applyFill="1" applyAlignment="1" applyProtection="1">
      <alignment horizontal="left" vertical="center"/>
    </xf>
    <xf numFmtId="0" fontId="8" fillId="21" borderId="6" xfId="4" applyFont="1" applyFill="1" applyBorder="1" applyAlignment="1" applyProtection="1">
      <alignment horizontal="left" vertical="center"/>
    </xf>
    <xf numFmtId="0" fontId="9" fillId="0" borderId="0" xfId="4" applyFont="1" applyFill="1" applyProtection="1"/>
    <xf numFmtId="168" fontId="9" fillId="0" borderId="0" xfId="4" applyNumberFormat="1" applyFont="1" applyFill="1" applyAlignment="1" applyProtection="1">
      <alignment horizontal="left" vertical="center"/>
    </xf>
    <xf numFmtId="0" fontId="9" fillId="0" borderId="0" xfId="4" applyFont="1" applyFill="1" applyAlignment="1" applyProtection="1">
      <alignment vertical="center"/>
    </xf>
    <xf numFmtId="0" fontId="58" fillId="0" borderId="0" xfId="3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horizontal="left" vertical="center"/>
    </xf>
    <xf numFmtId="0" fontId="9" fillId="0" borderId="0" xfId="4" applyFont="1" applyFill="1" applyAlignment="1" applyProtection="1">
      <alignment horizontal="left" vertical="center"/>
    </xf>
    <xf numFmtId="1" fontId="58" fillId="0" borderId="0" xfId="3" applyNumberFormat="1" applyFont="1" applyFill="1" applyAlignment="1" applyProtection="1">
      <alignment horizontal="left" vertical="center"/>
    </xf>
    <xf numFmtId="1" fontId="8" fillId="0" borderId="0" xfId="1" applyNumberFormat="1" applyFont="1" applyFill="1" applyAlignment="1" applyProtection="1">
      <alignment horizontal="left" vertical="center"/>
    </xf>
    <xf numFmtId="0" fontId="9" fillId="0" borderId="0" xfId="0" applyFont="1" applyFill="1"/>
    <xf numFmtId="0" fontId="9" fillId="0" borderId="0" xfId="4" quotePrefix="1" applyFont="1" applyFill="1" applyAlignment="1" applyProtection="1">
      <alignment horizontal="left" vertical="center"/>
    </xf>
    <xf numFmtId="0" fontId="58" fillId="0" borderId="0" xfId="3" applyFont="1" applyFill="1" applyAlignment="1" applyProtection="1">
      <alignment horizontal="left"/>
    </xf>
    <xf numFmtId="0" fontId="8" fillId="0" borderId="0" xfId="1" applyFont="1" applyFill="1" applyProtection="1"/>
    <xf numFmtId="165" fontId="8" fillId="0" borderId="36" xfId="4" applyNumberFormat="1" applyFont="1" applyBorder="1" applyAlignment="1" applyProtection="1">
      <alignment horizontal="center" vertical="center"/>
    </xf>
    <xf numFmtId="10" fontId="8" fillId="20" borderId="40" xfId="4" applyNumberFormat="1" applyFont="1" applyFill="1" applyBorder="1" applyAlignment="1" applyProtection="1">
      <alignment horizontal="center" vertical="center"/>
    </xf>
    <xf numFmtId="10" fontId="8" fillId="20" borderId="43" xfId="4" applyNumberFormat="1" applyFont="1" applyFill="1" applyBorder="1" applyAlignment="1" applyProtection="1">
      <alignment horizontal="center" vertical="center"/>
    </xf>
    <xf numFmtId="10" fontId="59" fillId="0" borderId="40" xfId="4" applyNumberFormat="1" applyFont="1" applyBorder="1" applyAlignment="1" applyProtection="1">
      <alignment horizontal="center" vertical="center"/>
    </xf>
    <xf numFmtId="10" fontId="59" fillId="0" borderId="40" xfId="7" applyNumberFormat="1" applyFont="1" applyBorder="1" applyAlignment="1" applyProtection="1">
      <alignment horizontal="center" vertical="center"/>
    </xf>
    <xf numFmtId="10" fontId="59" fillId="0" borderId="43" xfId="4" applyNumberFormat="1" applyFont="1" applyBorder="1" applyAlignment="1" applyProtection="1">
      <alignment horizontal="center" vertical="center"/>
    </xf>
    <xf numFmtId="0" fontId="9" fillId="16" borderId="22" xfId="3" applyFont="1" applyFill="1" applyBorder="1" applyAlignment="1" applyProtection="1">
      <alignment horizontal="center" vertical="center"/>
    </xf>
    <xf numFmtId="0" fontId="9" fillId="16" borderId="7" xfId="3" applyFont="1" applyFill="1" applyBorder="1" applyAlignment="1" applyProtection="1">
      <alignment horizontal="center" vertical="center"/>
    </xf>
    <xf numFmtId="168" fontId="12" fillId="0" borderId="0" xfId="6" applyNumberFormat="1" applyFont="1" applyFill="1" applyAlignment="1" applyProtection="1">
      <alignment horizontal="left" vertical="center"/>
      <protection locked="0"/>
    </xf>
    <xf numFmtId="0" fontId="33" fillId="0" borderId="0" xfId="0" applyFont="1" applyAlignment="1">
      <alignment horizontal="right" vertical="center"/>
    </xf>
    <xf numFmtId="165" fontId="12" fillId="6" borderId="2" xfId="5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9" fillId="0" borderId="0" xfId="0" applyFont="1" applyAlignment="1">
      <alignment horizontal="center" vertical="center"/>
    </xf>
    <xf numFmtId="0" fontId="21" fillId="0" borderId="0" xfId="0" applyFont="1"/>
    <xf numFmtId="0" fontId="21" fillId="14" borderId="0" xfId="0" applyFont="1" applyFill="1"/>
    <xf numFmtId="0" fontId="23" fillId="0" borderId="0" xfId="0" applyFont="1" applyAlignment="1">
      <alignment horizontal="left" vertical="center"/>
    </xf>
    <xf numFmtId="0" fontId="12" fillId="18" borderId="3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15" borderId="2" xfId="0" applyFont="1" applyFill="1" applyBorder="1" applyAlignment="1">
      <alignment horizontal="center" vertical="center"/>
    </xf>
    <xf numFmtId="0" fontId="9" fillId="16" borderId="7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2" fillId="15" borderId="2" xfId="0" applyNumberFormat="1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2" fillId="18" borderId="4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" fontId="8" fillId="15" borderId="2" xfId="0" applyNumberFormat="1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12" fillId="17" borderId="8" xfId="0" applyFont="1" applyFill="1" applyBorder="1" applyAlignment="1">
      <alignment horizontal="center" vertical="center" wrapText="1"/>
    </xf>
    <xf numFmtId="165" fontId="12" fillId="24" borderId="33" xfId="0" applyNumberFormat="1" applyFont="1" applyFill="1" applyBorder="1" applyAlignment="1">
      <alignment horizontal="center" vertical="center"/>
    </xf>
    <xf numFmtId="165" fontId="12" fillId="24" borderId="41" xfId="0" applyNumberFormat="1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left" vertical="center"/>
    </xf>
    <xf numFmtId="0" fontId="9" fillId="21" borderId="0" xfId="0" applyFont="1" applyFill="1" applyAlignment="1">
      <alignment horizontal="center" vertical="center"/>
    </xf>
    <xf numFmtId="164" fontId="12" fillId="17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9" fontId="8" fillId="0" borderId="21" xfId="7" applyFont="1" applyBorder="1" applyAlignment="1" applyProtection="1">
      <alignment horizontal="center" vertical="center"/>
    </xf>
    <xf numFmtId="10" fontId="8" fillId="20" borderId="40" xfId="7" applyNumberFormat="1" applyFont="1" applyFill="1" applyBorder="1" applyAlignment="1" applyProtection="1">
      <alignment horizontal="center" vertical="center"/>
    </xf>
    <xf numFmtId="10" fontId="46" fillId="0" borderId="40" xfId="7" applyNumberFormat="1" applyFont="1" applyBorder="1" applyAlignment="1" applyProtection="1">
      <alignment horizontal="center" vertical="center"/>
    </xf>
    <xf numFmtId="2" fontId="12" fillId="15" borderId="2" xfId="0" applyNumberFormat="1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left" vertical="center"/>
    </xf>
    <xf numFmtId="0" fontId="5" fillId="21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12" fillId="0" borderId="38" xfId="0" applyNumberFormat="1" applyFont="1" applyBorder="1" applyAlignment="1">
      <alignment horizontal="center" vertical="center"/>
    </xf>
    <xf numFmtId="9" fontId="8" fillId="0" borderId="18" xfId="7" applyFont="1" applyBorder="1" applyAlignment="1" applyProtection="1">
      <alignment horizontal="center" vertical="center"/>
    </xf>
    <xf numFmtId="164" fontId="12" fillId="15" borderId="2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5" fillId="16" borderId="7" xfId="0" quotePrefix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1" fontId="12" fillId="15" borderId="28" xfId="0" applyNumberFormat="1" applyFont="1" applyFill="1" applyBorder="1" applyAlignment="1">
      <alignment horizontal="center" vertical="center"/>
    </xf>
    <xf numFmtId="0" fontId="9" fillId="16" borderId="29" xfId="0" quotePrefix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9" fontId="8" fillId="0" borderId="19" xfId="7" applyFont="1" applyBorder="1" applyAlignment="1" applyProtection="1">
      <alignment horizontal="center" vertical="center"/>
    </xf>
    <xf numFmtId="10" fontId="8" fillId="20" borderId="43" xfId="7" applyNumberFormat="1" applyFont="1" applyFill="1" applyBorder="1" applyAlignment="1" applyProtection="1">
      <alignment horizontal="center" vertical="center"/>
    </xf>
    <xf numFmtId="9" fontId="46" fillId="0" borderId="29" xfId="7" applyFont="1" applyBorder="1" applyAlignment="1" applyProtection="1">
      <alignment horizontal="center" vertical="center"/>
    </xf>
    <xf numFmtId="10" fontId="46" fillId="0" borderId="43" xfId="7" applyNumberFormat="1" applyFont="1" applyBorder="1" applyAlignment="1" applyProtection="1">
      <alignment horizontal="center" vertical="center"/>
    </xf>
    <xf numFmtId="0" fontId="9" fillId="21" borderId="0" xfId="0" applyFont="1" applyFill="1" applyAlignment="1">
      <alignment vertical="center"/>
    </xf>
    <xf numFmtId="164" fontId="8" fillId="15" borderId="27" xfId="0" applyNumberFormat="1" applyFont="1" applyFill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  <protection locked="0"/>
    </xf>
    <xf numFmtId="164" fontId="8" fillId="15" borderId="2" xfId="0" applyNumberFormat="1" applyFont="1" applyFill="1" applyBorder="1" applyAlignment="1">
      <alignment horizontal="center" vertical="center"/>
    </xf>
    <xf numFmtId="0" fontId="47" fillId="0" borderId="44" xfId="0" applyFont="1" applyBorder="1" applyAlignment="1">
      <alignment horizontal="center" vertical="center" wrapText="1"/>
    </xf>
    <xf numFmtId="2" fontId="8" fillId="15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8" fillId="21" borderId="8" xfId="0" applyFont="1" applyFill="1" applyBorder="1" applyAlignment="1">
      <alignment horizontal="left" vertical="center"/>
    </xf>
    <xf numFmtId="0" fontId="9" fillId="21" borderId="9" xfId="0" applyFont="1" applyFill="1" applyBorder="1" applyAlignment="1">
      <alignment vertical="center"/>
    </xf>
    <xf numFmtId="164" fontId="8" fillId="15" borderId="28" xfId="0" applyNumberFormat="1" applyFont="1" applyFill="1" applyBorder="1" applyAlignment="1">
      <alignment horizontal="center" vertical="center"/>
    </xf>
    <xf numFmtId="0" fontId="9" fillId="16" borderId="29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center"/>
    </xf>
    <xf numFmtId="0" fontId="5" fillId="16" borderId="29" xfId="0" quotePrefix="1" applyFont="1" applyFill="1" applyBorder="1" applyAlignment="1">
      <alignment horizontal="center" vertical="center"/>
    </xf>
    <xf numFmtId="1" fontId="12" fillId="15" borderId="27" xfId="0" applyNumberFormat="1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5" fillId="21" borderId="0" xfId="0" applyFont="1" applyFill="1" applyAlignment="1">
      <alignment horizontal="left" vertical="center"/>
    </xf>
    <xf numFmtId="0" fontId="12" fillId="21" borderId="8" xfId="0" applyFont="1" applyFill="1" applyBorder="1" applyAlignment="1">
      <alignment horizontal="left" vertical="center"/>
    </xf>
    <xf numFmtId="2" fontId="8" fillId="0" borderId="28" xfId="0" applyNumberFormat="1" applyFont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16" borderId="5" xfId="0" quotePrefix="1" applyFont="1" applyFill="1" applyBorder="1" applyAlignment="1">
      <alignment horizontal="center" vertical="center"/>
    </xf>
    <xf numFmtId="0" fontId="8" fillId="21" borderId="8" xfId="0" applyFont="1" applyFill="1" applyBorder="1" applyAlignment="1">
      <alignment vertical="center"/>
    </xf>
    <xf numFmtId="0" fontId="9" fillId="21" borderId="9" xfId="0" applyFont="1" applyFill="1" applyBorder="1" applyAlignment="1">
      <alignment horizontal="center"/>
    </xf>
    <xf numFmtId="164" fontId="8" fillId="15" borderId="31" xfId="0" applyNumberFormat="1" applyFont="1" applyFill="1" applyBorder="1" applyAlignment="1">
      <alignment horizontal="center" vertical="center"/>
    </xf>
    <xf numFmtId="0" fontId="9" fillId="22" borderId="29" xfId="0" quotePrefix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164" fontId="12" fillId="15" borderId="2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" fontId="12" fillId="15" borderId="31" xfId="0" applyNumberFormat="1" applyFont="1" applyFill="1" applyBorder="1" applyAlignment="1">
      <alignment horizontal="center" vertical="center"/>
    </xf>
    <xf numFmtId="0" fontId="8" fillId="21" borderId="33" xfId="0" applyFont="1" applyFill="1" applyBorder="1" applyAlignment="1">
      <alignment horizontal="left" vertical="center"/>
    </xf>
    <xf numFmtId="0" fontId="9" fillId="21" borderId="34" xfId="0" applyFont="1" applyFill="1" applyBorder="1" applyAlignment="1">
      <alignment horizontal="center" vertical="center"/>
    </xf>
    <xf numFmtId="0" fontId="9" fillId="16" borderId="3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2" fillId="0" borderId="0" xfId="0" applyFont="1"/>
    <xf numFmtId="0" fontId="10" fillId="14" borderId="0" xfId="0" applyFont="1" applyFill="1"/>
    <xf numFmtId="0" fontId="11" fillId="0" borderId="0" xfId="0" applyFont="1" applyAlignment="1">
      <alignment horizontal="left" vertical="center"/>
    </xf>
    <xf numFmtId="0" fontId="10" fillId="1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18" borderId="25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18" borderId="0" xfId="0" applyFont="1" applyFill="1" applyAlignment="1">
      <alignment horizontal="center" vertical="center" wrapText="1"/>
    </xf>
    <xf numFmtId="0" fontId="8" fillId="18" borderId="9" xfId="0" applyFont="1" applyFill="1" applyBorder="1" applyAlignment="1">
      <alignment horizontal="center" vertical="center" wrapText="1"/>
    </xf>
    <xf numFmtId="164" fontId="8" fillId="17" borderId="2" xfId="4" applyNumberFormat="1" applyFont="1" applyFill="1" applyBorder="1" applyAlignment="1" applyProtection="1">
      <alignment horizontal="center" vertical="center"/>
    </xf>
    <xf numFmtId="10" fontId="8" fillId="20" borderId="4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9" fillId="21" borderId="0" xfId="0" applyFont="1" applyFill="1"/>
    <xf numFmtId="0" fontId="9" fillId="16" borderId="7" xfId="0" applyFont="1" applyFill="1" applyBorder="1" applyAlignment="1">
      <alignment horizontal="center"/>
    </xf>
    <xf numFmtId="0" fontId="5" fillId="14" borderId="0" xfId="0" quotePrefix="1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10" fontId="8" fillId="27" borderId="44" xfId="0" applyNumberFormat="1" applyFont="1" applyFill="1" applyBorder="1" applyAlignment="1">
      <alignment horizontal="center" vertical="center"/>
    </xf>
    <xf numFmtId="9" fontId="56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8" fillId="21" borderId="6" xfId="0" applyFont="1" applyFill="1" applyBorder="1" applyAlignment="1">
      <alignment horizontal="left"/>
    </xf>
    <xf numFmtId="0" fontId="9" fillId="21" borderId="9" xfId="0" applyFont="1" applyFill="1" applyBorder="1"/>
    <xf numFmtId="0" fontId="8" fillId="21" borderId="6" xfId="3" applyFont="1" applyFill="1" applyBorder="1" applyAlignment="1" applyProtection="1">
      <alignment horizontal="left" vertical="center"/>
    </xf>
    <xf numFmtId="0" fontId="9" fillId="21" borderId="0" xfId="3" applyFont="1" applyFill="1" applyAlignment="1" applyProtection="1">
      <alignment horizontal="center" vertical="center"/>
    </xf>
    <xf numFmtId="1" fontId="8" fillId="15" borderId="2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0" fontId="10" fillId="1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" fontId="8" fillId="15" borderId="27" xfId="0" applyNumberFormat="1" applyFont="1" applyFill="1" applyBorder="1" applyAlignment="1">
      <alignment horizontal="center" vertical="center"/>
    </xf>
    <xf numFmtId="1" fontId="8" fillId="15" borderId="2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1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21" borderId="6" xfId="0" applyFont="1" applyFill="1" applyBorder="1"/>
    <xf numFmtId="0" fontId="9" fillId="21" borderId="23" xfId="0" applyFont="1" applyFill="1" applyBorder="1"/>
    <xf numFmtId="0" fontId="9" fillId="16" borderId="30" xfId="0" quotePrefix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1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5" fillId="21" borderId="23" xfId="0" applyFont="1" applyFill="1" applyBorder="1" applyAlignment="1">
      <alignment horizontal="left" vertical="center"/>
    </xf>
    <xf numFmtId="0" fontId="5" fillId="21" borderId="32" xfId="0" applyFont="1" applyFill="1" applyBorder="1" applyAlignment="1">
      <alignment horizontal="left" vertical="center"/>
    </xf>
    <xf numFmtId="2" fontId="8" fillId="15" borderId="28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6" xfId="3" applyFont="1" applyBorder="1" applyAlignment="1" applyProtection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5" fillId="14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1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4" fontId="8" fillId="0" borderId="27" xfId="0" applyNumberFormat="1" applyFont="1" applyBorder="1" applyAlignment="1">
      <alignment horizontal="center" vertical="center"/>
    </xf>
    <xf numFmtId="0" fontId="8" fillId="0" borderId="6" xfId="0" applyFont="1" applyBorder="1"/>
    <xf numFmtId="1" fontId="8" fillId="0" borderId="31" xfId="0" applyNumberFormat="1" applyFont="1" applyBorder="1" applyAlignment="1">
      <alignment horizontal="center" vertical="center"/>
    </xf>
    <xf numFmtId="1" fontId="8" fillId="0" borderId="2" xfId="4" applyNumberFormat="1" applyFont="1" applyBorder="1" applyAlignment="1" applyProtection="1">
      <alignment horizontal="center" vertical="center"/>
    </xf>
    <xf numFmtId="164" fontId="8" fillId="0" borderId="28" xfId="3" applyNumberFormat="1" applyFont="1" applyBorder="1" applyAlignment="1" applyProtection="1">
      <alignment horizontal="center" vertical="center"/>
    </xf>
    <xf numFmtId="0" fontId="0" fillId="0" borderId="0" xfId="0"/>
    <xf numFmtId="0" fontId="60" fillId="0" borderId="0" xfId="0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14" fillId="28" borderId="45" xfId="5" applyFont="1" applyFill="1" applyBorder="1" applyAlignment="1" applyProtection="1">
      <alignment horizontal="center" vertical="center"/>
      <protection locked="0"/>
    </xf>
    <xf numFmtId="0" fontId="14" fillId="26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0" borderId="0" xfId="0"/>
    <xf numFmtId="0" fontId="5" fillId="10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4" fillId="30" borderId="45" xfId="5" applyFont="1" applyFill="1" applyBorder="1" applyAlignment="1" applyProtection="1">
      <alignment horizontal="center" vertical="center" textRotation="90"/>
      <protection locked="0"/>
    </xf>
    <xf numFmtId="0" fontId="54" fillId="0" borderId="10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12" fillId="18" borderId="24" xfId="0" applyFont="1" applyFill="1" applyBorder="1" applyAlignment="1">
      <alignment horizontal="center" vertical="center"/>
    </xf>
    <xf numFmtId="0" fontId="12" fillId="18" borderId="6" xfId="0" applyFont="1" applyFill="1" applyBorder="1" applyAlignment="1">
      <alignment horizontal="center" vertical="center"/>
    </xf>
    <xf numFmtId="0" fontId="12" fillId="18" borderId="8" xfId="0" applyFont="1" applyFill="1" applyBorder="1" applyAlignment="1">
      <alignment horizontal="center" vertical="center"/>
    </xf>
    <xf numFmtId="0" fontId="12" fillId="17" borderId="24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8" borderId="39" xfId="0" applyFont="1" applyFill="1" applyBorder="1" applyAlignment="1">
      <alignment horizontal="center" vertical="center" wrapText="1"/>
    </xf>
    <xf numFmtId="0" fontId="14" fillId="31" borderId="0" xfId="0" applyFont="1" applyFill="1" applyAlignment="1" applyProtection="1">
      <alignment horizontal="center" vertical="center"/>
      <protection locked="0"/>
    </xf>
    <xf numFmtId="0" fontId="14" fillId="26" borderId="45" xfId="5" applyFont="1" applyFill="1" applyBorder="1" applyAlignment="1" applyProtection="1">
      <alignment horizontal="center" vertical="center" textRotation="90"/>
      <protection locked="0"/>
    </xf>
    <xf numFmtId="0" fontId="8" fillId="0" borderId="11" xfId="2" applyFont="1" applyBorder="1" applyAlignment="1" applyProtection="1">
      <alignment horizontal="center" vertical="center"/>
    </xf>
    <xf numFmtId="0" fontId="8" fillId="17" borderId="26" xfId="2" applyFont="1" applyFill="1" applyBorder="1" applyAlignment="1" applyProtection="1">
      <alignment horizontal="center" vertical="center" wrapText="1"/>
    </xf>
    <xf numFmtId="0" fontId="8" fillId="17" borderId="5" xfId="2" applyFont="1" applyFill="1" applyBorder="1" applyAlignment="1" applyProtection="1">
      <alignment horizontal="center" vertical="center" wrapText="1"/>
    </xf>
    <xf numFmtId="0" fontId="12" fillId="18" borderId="40" xfId="0" applyFont="1" applyFill="1" applyBorder="1" applyAlignment="1">
      <alignment horizontal="center" vertical="center" wrapText="1"/>
    </xf>
    <xf numFmtId="0" fontId="0" fillId="32" borderId="0" xfId="0" applyFill="1" applyBorder="1" applyAlignment="1">
      <alignment vertical="center"/>
    </xf>
    <xf numFmtId="0" fontId="0" fillId="32" borderId="0" xfId="0" applyFill="1" applyBorder="1"/>
    <xf numFmtId="0" fontId="0" fillId="32" borderId="0" xfId="0" applyFill="1" applyBorder="1" applyAlignment="1">
      <alignment horizontal="center" vertical="center"/>
    </xf>
    <xf numFmtId="0" fontId="15" fillId="32" borderId="0" xfId="0" applyFont="1" applyFill="1" applyBorder="1" applyAlignment="1">
      <alignment horizontal="right"/>
    </xf>
    <xf numFmtId="0" fontId="9" fillId="32" borderId="0" xfId="0" applyFont="1" applyFill="1" applyBorder="1"/>
    <xf numFmtId="0" fontId="20" fillId="32" borderId="0" xfId="0" applyFont="1" applyFill="1" applyBorder="1" applyAlignment="1">
      <alignment horizontal="center"/>
    </xf>
    <xf numFmtId="0" fontId="12" fillId="33" borderId="0" xfId="0" applyFont="1" applyFill="1" applyBorder="1" applyAlignment="1">
      <alignment horizontal="center" vertical="center" textRotation="90"/>
    </xf>
    <xf numFmtId="0" fontId="12" fillId="33" borderId="0" xfId="5" applyFont="1" applyFill="1" applyAlignment="1" applyProtection="1">
      <alignment horizontal="center" vertical="center" textRotation="90"/>
      <protection locked="0"/>
    </xf>
    <xf numFmtId="0" fontId="12" fillId="33" borderId="45" xfId="5" applyFont="1" applyFill="1" applyBorder="1" applyAlignment="1" applyProtection="1">
      <alignment horizontal="center" vertical="center" textRotation="90"/>
      <protection locked="0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vertical="center"/>
    </xf>
    <xf numFmtId="0" fontId="15" fillId="10" borderId="0" xfId="0" applyFont="1" applyFill="1" applyBorder="1" applyAlignment="1">
      <alignment vertical="center"/>
    </xf>
    <xf numFmtId="0" fontId="9" fillId="13" borderId="6" xfId="0" applyFont="1" applyFill="1" applyBorder="1" applyAlignment="1">
      <alignment horizontal="left" vertical="center"/>
    </xf>
    <xf numFmtId="0" fontId="9" fillId="13" borderId="0" xfId="0" applyFont="1" applyFill="1" applyBorder="1" applyAlignment="1">
      <alignment horizontal="left" vertical="center"/>
    </xf>
    <xf numFmtId="0" fontId="5" fillId="10" borderId="6" xfId="0" applyFont="1" applyFill="1" applyBorder="1" applyAlignment="1">
      <alignment horizontal="left" vertical="center"/>
    </xf>
    <xf numFmtId="0" fontId="5" fillId="10" borderId="0" xfId="0" applyFont="1" applyFill="1" applyBorder="1" applyAlignment="1">
      <alignment horizontal="left" vertical="center"/>
    </xf>
    <xf numFmtId="0" fontId="9" fillId="11" borderId="8" xfId="0" applyFont="1" applyFill="1" applyBorder="1"/>
    <xf numFmtId="0" fontId="9" fillId="11" borderId="9" xfId="0" applyFont="1" applyFill="1" applyBorder="1"/>
    <xf numFmtId="0" fontId="5" fillId="11" borderId="50" xfId="0" applyFont="1" applyFill="1" applyBorder="1" applyAlignment="1">
      <alignment horizontal="left" vertical="center"/>
    </xf>
    <xf numFmtId="0" fontId="5" fillId="11" borderId="51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5" fillId="11" borderId="8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left" vertical="center"/>
    </xf>
    <xf numFmtId="0" fontId="5" fillId="10" borderId="50" xfId="0" applyFont="1" applyFill="1" applyBorder="1" applyAlignment="1">
      <alignment horizontal="left" vertical="center"/>
    </xf>
    <xf numFmtId="0" fontId="5" fillId="10" borderId="51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4" fillId="34" borderId="46" xfId="5" applyFont="1" applyFill="1" applyBorder="1" applyAlignment="1" applyProtection="1">
      <alignment horizontal="center" vertical="center"/>
      <protection locked="0"/>
    </xf>
    <xf numFmtId="0" fontId="14" fillId="34" borderId="47" xfId="5" applyFont="1" applyFill="1" applyBorder="1" applyAlignment="1" applyProtection="1">
      <alignment horizontal="center" vertical="center"/>
      <protection locked="0"/>
    </xf>
    <xf numFmtId="0" fontId="14" fillId="34" borderId="48" xfId="5" applyFont="1" applyFill="1" applyBorder="1" applyAlignment="1" applyProtection="1">
      <alignment horizontal="center" vertical="center"/>
      <protection locked="0"/>
    </xf>
    <xf numFmtId="0" fontId="14" fillId="34" borderId="49" xfId="5" applyFont="1" applyFill="1" applyBorder="1" applyAlignment="1" applyProtection="1">
      <alignment horizontal="center" vertical="center"/>
      <protection locked="0"/>
    </xf>
    <xf numFmtId="0" fontId="63" fillId="0" borderId="0" xfId="0" applyFont="1" applyAlignment="1">
      <alignment horizontal="right" vertical="center"/>
    </xf>
    <xf numFmtId="0" fontId="64" fillId="0" borderId="0" xfId="0" applyFont="1" applyAlignment="1">
      <alignment horizontal="right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center" vertical="center"/>
    </xf>
    <xf numFmtId="1" fontId="12" fillId="0" borderId="52" xfId="0" applyNumberFormat="1" applyFont="1" applyBorder="1" applyAlignment="1" applyProtection="1">
      <alignment horizontal="center" vertical="center"/>
      <protection locked="0"/>
    </xf>
    <xf numFmtId="0" fontId="5" fillId="11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8" fillId="19" borderId="39" xfId="0" applyFont="1" applyFill="1" applyBorder="1" applyAlignment="1">
      <alignment horizontal="center" vertical="center" wrapText="1"/>
    </xf>
    <xf numFmtId="0" fontId="8" fillId="19" borderId="40" xfId="0" applyFont="1" applyFill="1" applyBorder="1" applyAlignment="1">
      <alignment horizontal="center" vertical="center" wrapText="1"/>
    </xf>
    <xf numFmtId="0" fontId="8" fillId="25" borderId="41" xfId="0" applyFont="1" applyFill="1" applyBorder="1" applyAlignment="1">
      <alignment horizontal="center" vertical="center" wrapText="1"/>
    </xf>
    <xf numFmtId="49" fontId="53" fillId="0" borderId="53" xfId="0" applyNumberFormat="1" applyFont="1" applyBorder="1" applyAlignment="1">
      <alignment horizontal="center" vertical="center"/>
    </xf>
    <xf numFmtId="49" fontId="53" fillId="0" borderId="41" xfId="0" applyNumberFormat="1" applyFont="1" applyBorder="1" applyAlignment="1">
      <alignment horizontal="center" vertical="center"/>
    </xf>
    <xf numFmtId="0" fontId="53" fillId="8" borderId="54" xfId="0" applyFont="1" applyFill="1" applyBorder="1" applyAlignment="1">
      <alignment horizontal="center" vertical="center"/>
    </xf>
    <xf numFmtId="0" fontId="53" fillId="8" borderId="55" xfId="0" applyFont="1" applyFill="1" applyBorder="1" applyAlignment="1">
      <alignment horizontal="center" vertical="center"/>
    </xf>
    <xf numFmtId="0" fontId="53" fillId="8" borderId="56" xfId="0" applyFont="1" applyFill="1" applyBorder="1" applyAlignment="1">
      <alignment horizontal="center" vertical="center"/>
    </xf>
    <xf numFmtId="164" fontId="53" fillId="3" borderId="38" xfId="0" applyNumberFormat="1" applyFont="1" applyFill="1" applyBorder="1" applyAlignment="1">
      <alignment horizontal="center" vertical="center"/>
    </xf>
    <xf numFmtId="164" fontId="53" fillId="4" borderId="18" xfId="0" applyNumberFormat="1" applyFont="1" applyFill="1" applyBorder="1" applyAlignment="1">
      <alignment horizontal="center" vertical="center"/>
    </xf>
    <xf numFmtId="164" fontId="53" fillId="3" borderId="18" xfId="0" applyNumberFormat="1" applyFont="1" applyFill="1" applyBorder="1" applyAlignment="1">
      <alignment horizontal="center" vertical="center"/>
    </xf>
    <xf numFmtId="164" fontId="53" fillId="5" borderId="38" xfId="0" applyNumberFormat="1" applyFont="1" applyFill="1" applyBorder="1" applyAlignment="1">
      <alignment horizontal="center" vertical="center"/>
    </xf>
    <xf numFmtId="164" fontId="53" fillId="5" borderId="18" xfId="0" applyNumberFormat="1" applyFont="1" applyFill="1" applyBorder="1" applyAlignment="1">
      <alignment horizontal="center" vertical="center"/>
    </xf>
    <xf numFmtId="164" fontId="53" fillId="4" borderId="38" xfId="0" applyNumberFormat="1" applyFont="1" applyFill="1" applyBorder="1" applyAlignment="1">
      <alignment horizontal="center" vertical="center"/>
    </xf>
    <xf numFmtId="164" fontId="53" fillId="4" borderId="37" xfId="0" applyNumberFormat="1" applyFont="1" applyFill="1" applyBorder="1" applyAlignment="1">
      <alignment horizontal="center" vertical="center"/>
    </xf>
    <xf numFmtId="164" fontId="53" fillId="4" borderId="28" xfId="0" applyNumberFormat="1" applyFont="1" applyFill="1" applyBorder="1" applyAlignment="1">
      <alignment horizontal="center" vertical="center"/>
    </xf>
    <xf numFmtId="164" fontId="53" fillId="3" borderId="28" xfId="0" applyNumberFormat="1" applyFont="1" applyFill="1" applyBorder="1" applyAlignment="1">
      <alignment horizontal="center" vertical="center"/>
    </xf>
    <xf numFmtId="164" fontId="53" fillId="3" borderId="19" xfId="0" applyNumberFormat="1" applyFont="1" applyFill="1" applyBorder="1" applyAlignment="1">
      <alignment horizontal="center" vertical="center"/>
    </xf>
    <xf numFmtId="0" fontId="48" fillId="9" borderId="24" xfId="0" applyFont="1" applyFill="1" applyBorder="1" applyAlignment="1">
      <alignment horizontal="center" vertical="center"/>
    </xf>
    <xf numFmtId="0" fontId="48" fillId="9" borderId="25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62" fillId="26" borderId="0" xfId="5" applyFont="1" applyFill="1" applyAlignment="1" applyProtection="1">
      <alignment horizontal="center" vertical="center" wrapText="1"/>
      <protection locked="0"/>
    </xf>
    <xf numFmtId="49" fontId="53" fillId="0" borderId="40" xfId="0" applyNumberFormat="1" applyFont="1" applyBorder="1" applyAlignment="1">
      <alignment horizontal="center" vertical="center"/>
    </xf>
    <xf numFmtId="164" fontId="53" fillId="3" borderId="36" xfId="0" applyNumberFormat="1" applyFont="1" applyFill="1" applyBorder="1" applyAlignment="1">
      <alignment horizontal="center" vertical="center"/>
    </xf>
    <xf numFmtId="164" fontId="53" fillId="4" borderId="27" xfId="0" applyNumberFormat="1" applyFont="1" applyFill="1" applyBorder="1" applyAlignment="1">
      <alignment horizontal="center" vertical="center"/>
    </xf>
    <xf numFmtId="164" fontId="53" fillId="4" borderId="21" xfId="0" applyNumberFormat="1" applyFont="1" applyFill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49" fillId="7" borderId="39" xfId="0" applyFont="1" applyFill="1" applyBorder="1" applyAlignment="1">
      <alignment horizontal="center" vertical="center" wrapText="1"/>
    </xf>
    <xf numFmtId="0" fontId="49" fillId="7" borderId="4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Protection="1"/>
    <xf numFmtId="0" fontId="21" fillId="0" borderId="0" xfId="0" applyFont="1" applyProtection="1"/>
    <xf numFmtId="0" fontId="20" fillId="0" borderId="0" xfId="0" applyFont="1" applyProtection="1"/>
    <xf numFmtId="0" fontId="54" fillId="0" borderId="10" xfId="0" applyFont="1" applyBorder="1" applyAlignment="1" applyProtection="1">
      <alignment horizontal="center" vertical="center"/>
    </xf>
    <xf numFmtId="0" fontId="54" fillId="0" borderId="11" xfId="0" applyFont="1" applyBorder="1" applyAlignment="1" applyProtection="1">
      <alignment horizontal="center" vertical="center"/>
    </xf>
    <xf numFmtId="0" fontId="54" fillId="0" borderId="12" xfId="0" applyFont="1" applyBorder="1" applyAlignment="1" applyProtection="1">
      <alignment horizontal="center" vertical="center"/>
    </xf>
    <xf numFmtId="0" fontId="12" fillId="18" borderId="24" xfId="0" applyFont="1" applyFill="1" applyBorder="1" applyAlignment="1" applyProtection="1">
      <alignment horizontal="center" vertical="center"/>
    </xf>
    <xf numFmtId="0" fontId="12" fillId="18" borderId="25" xfId="0" applyFont="1" applyFill="1" applyBorder="1" applyAlignment="1" applyProtection="1">
      <alignment horizontal="center" vertical="center" wrapText="1"/>
    </xf>
    <xf numFmtId="0" fontId="12" fillId="17" borderId="24" xfId="0" applyFont="1" applyFill="1" applyBorder="1" applyAlignment="1" applyProtection="1">
      <alignment horizontal="center" vertical="center" wrapText="1"/>
    </xf>
    <xf numFmtId="0" fontId="12" fillId="17" borderId="26" xfId="0" applyFont="1" applyFill="1" applyBorder="1" applyAlignment="1" applyProtection="1">
      <alignment horizontal="center" vertical="center" wrapText="1"/>
    </xf>
    <xf numFmtId="0" fontId="12" fillId="19" borderId="39" xfId="0" applyFont="1" applyFill="1" applyBorder="1" applyAlignment="1" applyProtection="1">
      <alignment horizontal="center" vertical="center" wrapText="1"/>
    </xf>
    <xf numFmtId="0" fontId="12" fillId="18" borderId="39" xfId="0" applyFont="1" applyFill="1" applyBorder="1" applyAlignment="1" applyProtection="1">
      <alignment horizontal="center" vertical="center" wrapText="1"/>
    </xf>
    <xf numFmtId="0" fontId="12" fillId="18" borderId="39" xfId="0" applyFont="1" applyFill="1" applyBorder="1" applyAlignment="1" applyProtection="1">
      <alignment horizontal="center" vertical="center" wrapText="1"/>
    </xf>
    <xf numFmtId="0" fontId="12" fillId="18" borderId="6" xfId="0" applyFont="1" applyFill="1" applyBorder="1" applyAlignment="1" applyProtection="1">
      <alignment horizontal="center" vertical="center"/>
    </xf>
    <xf numFmtId="0" fontId="12" fillId="18" borderId="0" xfId="0" applyFont="1" applyFill="1" applyAlignment="1" applyProtection="1">
      <alignment horizontal="center" vertical="center" wrapText="1"/>
    </xf>
    <xf numFmtId="0" fontId="12" fillId="17" borderId="4" xfId="0" applyFont="1" applyFill="1" applyBorder="1" applyAlignment="1" applyProtection="1">
      <alignment horizontal="center" vertical="center" wrapText="1"/>
    </xf>
    <xf numFmtId="0" fontId="12" fillId="17" borderId="5" xfId="0" applyFont="1" applyFill="1" applyBorder="1" applyAlignment="1" applyProtection="1">
      <alignment horizontal="center" vertical="center" wrapText="1"/>
    </xf>
    <xf numFmtId="0" fontId="12" fillId="19" borderId="42" xfId="0" applyFont="1" applyFill="1" applyBorder="1" applyAlignment="1" applyProtection="1">
      <alignment horizontal="center" vertical="center" wrapText="1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8" xfId="0" applyFont="1" applyFill="1" applyBorder="1" applyAlignment="1" applyProtection="1">
      <alignment horizontal="center" vertical="center"/>
    </xf>
    <xf numFmtId="0" fontId="12" fillId="18" borderId="9" xfId="0" applyFont="1" applyFill="1" applyBorder="1" applyAlignment="1" applyProtection="1">
      <alignment horizontal="center" vertical="center" wrapText="1"/>
    </xf>
    <xf numFmtId="0" fontId="12" fillId="17" borderId="8" xfId="0" applyFont="1" applyFill="1" applyBorder="1" applyAlignment="1" applyProtection="1">
      <alignment horizontal="center" vertical="center" wrapText="1"/>
    </xf>
    <xf numFmtId="0" fontId="12" fillId="17" borderId="29" xfId="0" applyFont="1" applyFill="1" applyBorder="1" applyAlignment="1" applyProtection="1">
      <alignment horizontal="center" vertical="center" wrapText="1"/>
    </xf>
    <xf numFmtId="0" fontId="12" fillId="25" borderId="41" xfId="0" applyFont="1" applyFill="1" applyBorder="1" applyAlignment="1" applyProtection="1">
      <alignment horizontal="center" vertical="center" wrapText="1"/>
    </xf>
    <xf numFmtId="165" fontId="12" fillId="24" borderId="33" xfId="0" applyNumberFormat="1" applyFont="1" applyFill="1" applyBorder="1" applyAlignment="1" applyProtection="1">
      <alignment horizontal="center" vertical="center"/>
    </xf>
    <xf numFmtId="165" fontId="12" fillId="24" borderId="41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165" fontId="8" fillId="0" borderId="13" xfId="0" applyNumberFormat="1" applyFont="1" applyBorder="1" applyAlignment="1" applyProtection="1">
      <alignment horizontal="center" vertical="center"/>
    </xf>
    <xf numFmtId="165" fontId="12" fillId="0" borderId="36" xfId="0" applyNumberFormat="1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 vertical="center"/>
    </xf>
    <xf numFmtId="165" fontId="8" fillId="0" borderId="1" xfId="0" applyNumberFormat="1" applyFont="1" applyBorder="1" applyAlignment="1" applyProtection="1">
      <alignment horizontal="center" vertical="center"/>
    </xf>
    <xf numFmtId="165" fontId="12" fillId="0" borderId="38" xfId="0" applyNumberFormat="1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left" vertical="center"/>
    </xf>
    <xf numFmtId="165" fontId="8" fillId="0" borderId="34" xfId="0" applyNumberFormat="1" applyFont="1" applyBorder="1" applyAlignment="1" applyProtection="1">
      <alignment horizontal="center" vertical="center"/>
    </xf>
    <xf numFmtId="165" fontId="12" fillId="0" borderId="37" xfId="0" applyNumberFormat="1" applyFont="1" applyBorder="1" applyAlignment="1" applyProtection="1">
      <alignment horizontal="center" vertical="center"/>
    </xf>
    <xf numFmtId="165" fontId="14" fillId="0" borderId="0" xfId="0" applyNumberFormat="1" applyFont="1" applyAlignment="1" applyProtection="1">
      <alignment horizontal="center" vertical="center"/>
    </xf>
    <xf numFmtId="9" fontId="56" fillId="15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47" fillId="0" borderId="4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1" fontId="14" fillId="0" borderId="0" xfId="0" applyNumberFormat="1" applyFont="1" applyAlignment="1" applyProtection="1">
      <alignment horizontal="left" vertical="center"/>
    </xf>
    <xf numFmtId="1" fontId="12" fillId="14" borderId="0" xfId="0" applyNumberFormat="1" applyFont="1" applyFill="1" applyAlignment="1" applyProtection="1">
      <alignment horizontal="left" vertical="center"/>
    </xf>
    <xf numFmtId="1" fontId="12" fillId="0" borderId="0" xfId="0" applyNumberFormat="1" applyFont="1" applyFill="1" applyAlignment="1" applyProtection="1">
      <alignment horizontal="left" vertical="center"/>
    </xf>
    <xf numFmtId="0" fontId="11" fillId="0" borderId="0" xfId="0" applyFont="1" applyProtection="1"/>
    <xf numFmtId="0" fontId="21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9" fillId="0" borderId="0" xfId="0" applyFont="1" applyFill="1" applyProtection="1"/>
    <xf numFmtId="0" fontId="14" fillId="29" borderId="0" xfId="0" applyFont="1" applyFill="1" applyAlignment="1" applyProtection="1">
      <alignment horizontal="center" vertical="center"/>
      <protection locked="0"/>
    </xf>
    <xf numFmtId="0" fontId="14" fillId="26" borderId="0" xfId="5" applyFont="1" applyFill="1" applyBorder="1" applyAlignment="1" applyProtection="1">
      <alignment horizontal="center" vertical="center"/>
      <protection locked="0"/>
    </xf>
    <xf numFmtId="0" fontId="14" fillId="9" borderId="2" xfId="5" quotePrefix="1" applyFont="1" applyFill="1" applyBorder="1" applyAlignment="1" applyProtection="1">
      <alignment horizontal="center" vertical="center"/>
      <protection locked="0"/>
    </xf>
    <xf numFmtId="0" fontId="52" fillId="0" borderId="0" xfId="0" applyFont="1" applyProtection="1"/>
  </cellXfs>
  <cellStyles count="8">
    <cellStyle name="Hipervínculo" xfId="5" builtinId="8"/>
    <cellStyle name="Millares" xfId="6" builtinId="3"/>
    <cellStyle name="NivelCol_1" xfId="2" builtinId="2" iLevel="0"/>
    <cellStyle name="NivelFila_1" xfId="1" builtinId="1" iLevel="0"/>
    <cellStyle name="NivelFila_2" xfId="3" builtinId="1" iLevel="1"/>
    <cellStyle name="NivelFila_3" xfId="4" builtinId="1" iLevel="2"/>
    <cellStyle name="Normal" xfId="0" builtinId="0"/>
    <cellStyle name="Porcentaje" xfId="7" builtinId="5"/>
  </cellStyles>
  <dxfs count="178"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FF00"/>
      </font>
    </dxf>
  </dxfs>
  <tableStyles count="0" defaultTableStyle="TableStyleMedium2" defaultPivotStyle="PivotStyleLight16"/>
  <colors>
    <mruColors>
      <color rgb="FFFF00FF"/>
      <color rgb="FF009900"/>
      <color rgb="FFFF9900"/>
      <color rgb="FF008000"/>
      <color rgb="FF4343FF"/>
      <color rgb="FF00FF00"/>
      <color rgb="FF66FF33"/>
      <color rgb="FF99CC00"/>
      <color rgb="FF9393FF"/>
      <color rgb="FFD15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6.png"/><Relationship Id="rId3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20.png"/><Relationship Id="rId2" Type="http://schemas.openxmlformats.org/officeDocument/2006/relationships/image" Target="../media/image4.png"/><Relationship Id="rId16" Type="http://schemas.openxmlformats.org/officeDocument/2006/relationships/image" Target="../media/image19.png"/><Relationship Id="rId1" Type="http://schemas.openxmlformats.org/officeDocument/2006/relationships/image" Target="../media/image21.png"/><Relationship Id="rId6" Type="http://schemas.openxmlformats.org/officeDocument/2006/relationships/image" Target="../media/image24.png"/><Relationship Id="rId11" Type="http://schemas.openxmlformats.org/officeDocument/2006/relationships/image" Target="../media/image13.png"/><Relationship Id="rId5" Type="http://schemas.openxmlformats.org/officeDocument/2006/relationships/image" Target="../media/image23.png"/><Relationship Id="rId15" Type="http://schemas.openxmlformats.org/officeDocument/2006/relationships/image" Target="../media/image18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58196</xdr:colOff>
      <xdr:row>10</xdr:row>
      <xdr:rowOff>41561</xdr:rowOff>
    </xdr:from>
    <xdr:to>
      <xdr:col>7</xdr:col>
      <xdr:colOff>435685</xdr:colOff>
      <xdr:row>22</xdr:row>
      <xdr:rowOff>166253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A91484F-5F85-4D17-9F8E-315EE295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7643" y="955961"/>
          <a:ext cx="3511387" cy="231925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20.png"/><Relationship Id="rId1" Type="http://schemas.openxmlformats.org/officeDocument/2006/relationships/image" Target="../media/image110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Resultados%20RCCV.xls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E2CE-45B1-405B-8C05-41820A5D4CAB}">
  <dimension ref="A1:P38"/>
  <sheetViews>
    <sheetView showGridLines="0" tabSelected="1" showRuler="0" zoomScaleNormal="100" workbookViewId="0">
      <selection activeCell="D9" sqref="D9:G10"/>
    </sheetView>
  </sheetViews>
  <sheetFormatPr baseColWidth="10" defaultColWidth="11.5546875" defaultRowHeight="14.4" x14ac:dyDescent="0.25"/>
  <cols>
    <col min="1" max="1" width="66" style="57" customWidth="1"/>
    <col min="2" max="2" width="4.5546875" style="57" customWidth="1"/>
    <col min="3" max="3" width="5.5546875" style="57" customWidth="1"/>
    <col min="4" max="4" width="7.44140625" style="57" customWidth="1"/>
    <col min="5" max="5" width="11.21875" style="57" customWidth="1"/>
    <col min="6" max="6" width="11.88671875" style="57" customWidth="1"/>
    <col min="7" max="7" width="5.77734375" style="57" customWidth="1"/>
    <col min="8" max="8" width="9" style="57" customWidth="1"/>
    <col min="9" max="13" width="11.21875" style="57" customWidth="1"/>
    <col min="14" max="16384" width="11.5546875" style="57"/>
  </cols>
  <sheetData>
    <row r="1" spans="1:16" s="56" customFormat="1" x14ac:dyDescent="0.25">
      <c r="A1" s="353"/>
      <c r="B1" s="353"/>
      <c r="C1" s="355"/>
      <c r="D1" s="355"/>
      <c r="E1" s="355"/>
      <c r="F1" s="355"/>
      <c r="G1" s="355"/>
      <c r="H1" s="355"/>
      <c r="I1" s="355"/>
      <c r="J1" s="353"/>
      <c r="K1" s="353"/>
      <c r="L1" s="353"/>
      <c r="M1" s="353"/>
      <c r="N1" s="353"/>
      <c r="O1" s="353"/>
      <c r="P1" s="353"/>
    </row>
    <row r="2" spans="1:16" s="56" customFormat="1" x14ac:dyDescent="0.25">
      <c r="A2" s="353"/>
      <c r="B2" s="353"/>
      <c r="C2" s="355"/>
      <c r="D2" s="355"/>
      <c r="E2" s="355"/>
      <c r="F2" s="355"/>
      <c r="G2" s="355"/>
      <c r="H2" s="355"/>
      <c r="I2" s="355"/>
      <c r="J2" s="353"/>
      <c r="K2" s="353"/>
      <c r="L2" s="353"/>
      <c r="M2" s="353"/>
      <c r="N2" s="353"/>
      <c r="O2" s="353"/>
      <c r="P2" s="353"/>
    </row>
    <row r="3" spans="1:16" s="56" customFormat="1" x14ac:dyDescent="0.25">
      <c r="A3" s="353"/>
      <c r="B3" s="353"/>
      <c r="C3" s="355"/>
      <c r="D3" s="355"/>
      <c r="E3" s="355"/>
      <c r="F3" s="355"/>
      <c r="G3" s="355"/>
      <c r="H3" s="355"/>
      <c r="I3" s="355"/>
      <c r="J3" s="353"/>
      <c r="K3" s="353"/>
      <c r="L3" s="353"/>
      <c r="M3" s="353"/>
      <c r="N3" s="353"/>
      <c r="O3" s="353"/>
      <c r="P3" s="353"/>
    </row>
    <row r="4" spans="1:16" s="56" customFormat="1" x14ac:dyDescent="0.25">
      <c r="A4" s="353"/>
      <c r="B4" s="353"/>
      <c r="C4" s="355"/>
      <c r="D4" s="355"/>
      <c r="E4" s="355"/>
      <c r="F4" s="355"/>
      <c r="G4" s="355"/>
      <c r="H4" s="355"/>
      <c r="I4" s="355"/>
      <c r="J4" s="353"/>
      <c r="K4" s="353"/>
      <c r="L4" s="353"/>
      <c r="M4" s="353"/>
      <c r="N4" s="353"/>
      <c r="O4" s="353"/>
      <c r="P4" s="353"/>
    </row>
    <row r="5" spans="1:16" s="56" customFormat="1" x14ac:dyDescent="0.25">
      <c r="A5" s="353"/>
      <c r="B5" s="353"/>
      <c r="C5" s="355"/>
      <c r="D5" s="355"/>
      <c r="E5" s="355"/>
      <c r="F5" s="355"/>
      <c r="G5" s="355"/>
      <c r="H5" s="355"/>
      <c r="I5" s="355"/>
      <c r="J5" s="353"/>
      <c r="K5" s="353"/>
      <c r="L5" s="353"/>
      <c r="M5" s="353"/>
      <c r="N5" s="353"/>
      <c r="O5" s="353"/>
      <c r="P5" s="353"/>
    </row>
    <row r="6" spans="1:16" s="56" customFormat="1" x14ac:dyDescent="0.25">
      <c r="A6" s="353"/>
      <c r="B6" s="353"/>
      <c r="C6" s="355"/>
      <c r="D6" s="355"/>
      <c r="E6" s="355"/>
      <c r="F6" s="355"/>
      <c r="G6" s="355"/>
      <c r="H6" s="355"/>
      <c r="I6" s="355"/>
      <c r="J6" s="353"/>
      <c r="K6" s="353"/>
      <c r="L6" s="353"/>
      <c r="M6" s="353"/>
      <c r="N6" s="353"/>
      <c r="O6" s="353"/>
      <c r="P6" s="353"/>
    </row>
    <row r="7" spans="1:16" x14ac:dyDescent="0.25">
      <c r="A7" s="354"/>
      <c r="B7" s="354"/>
      <c r="C7" s="354"/>
      <c r="D7" s="356" t="s">
        <v>64</v>
      </c>
      <c r="E7" s="1"/>
      <c r="F7" s="1"/>
      <c r="G7" s="355"/>
      <c r="H7" s="355"/>
      <c r="I7" s="355"/>
      <c r="J7" s="354"/>
      <c r="K7" s="354"/>
      <c r="L7" s="354"/>
      <c r="M7" s="354"/>
      <c r="N7" s="354"/>
      <c r="O7" s="354"/>
      <c r="P7" s="354"/>
    </row>
    <row r="8" spans="1:16" x14ac:dyDescent="0.25">
      <c r="A8" s="354"/>
      <c r="B8" s="354"/>
      <c r="C8" s="354"/>
      <c r="D8" s="354"/>
      <c r="E8" s="355"/>
      <c r="F8" s="355"/>
      <c r="G8" s="355"/>
      <c r="H8" s="355"/>
      <c r="I8" s="355"/>
      <c r="J8" s="354"/>
      <c r="K8" s="354"/>
      <c r="L8" s="354"/>
      <c r="M8" s="354"/>
      <c r="N8" s="354"/>
      <c r="O8" s="354"/>
      <c r="P8" s="354"/>
    </row>
    <row r="9" spans="1:16" x14ac:dyDescent="0.25">
      <c r="A9" s="354"/>
      <c r="B9" s="359" t="s">
        <v>186</v>
      </c>
      <c r="C9" s="354"/>
      <c r="D9" s="481" t="s">
        <v>191</v>
      </c>
      <c r="E9" s="481"/>
      <c r="F9" s="481"/>
      <c r="G9" s="481"/>
      <c r="H9" s="355"/>
      <c r="I9" s="355"/>
      <c r="J9" s="354"/>
      <c r="K9" s="354"/>
      <c r="L9" s="354"/>
      <c r="M9" s="354"/>
      <c r="N9" s="354"/>
      <c r="O9" s="354"/>
      <c r="P9" s="354"/>
    </row>
    <row r="10" spans="1:16" ht="14.4" customHeight="1" x14ac:dyDescent="0.25">
      <c r="A10" s="354"/>
      <c r="B10" s="359"/>
      <c r="C10" s="354"/>
      <c r="D10" s="481"/>
      <c r="E10" s="481"/>
      <c r="F10" s="481"/>
      <c r="G10" s="481"/>
      <c r="H10" s="355"/>
      <c r="I10" s="355"/>
      <c r="J10" s="354"/>
      <c r="K10" s="354"/>
      <c r="L10" s="354"/>
      <c r="M10" s="354"/>
      <c r="N10" s="354"/>
      <c r="O10" s="354"/>
      <c r="P10" s="354"/>
    </row>
    <row r="11" spans="1:16" x14ac:dyDescent="0.25">
      <c r="A11" s="354"/>
      <c r="B11" s="359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</row>
    <row r="12" spans="1:16" x14ac:dyDescent="0.25">
      <c r="A12" s="354"/>
      <c r="B12" s="359"/>
      <c r="C12" s="354"/>
      <c r="D12" s="357"/>
      <c r="E12" s="354"/>
      <c r="F12" s="354"/>
      <c r="G12" s="354"/>
      <c r="H12" s="354"/>
      <c r="I12" s="357"/>
      <c r="J12" s="354"/>
      <c r="K12" s="354"/>
      <c r="L12" s="354"/>
      <c r="M12" s="354"/>
      <c r="N12" s="354"/>
      <c r="O12" s="354"/>
      <c r="P12" s="354"/>
    </row>
    <row r="13" spans="1:16" x14ac:dyDescent="0.25">
      <c r="A13" s="354"/>
      <c r="B13" s="359"/>
      <c r="C13" s="357"/>
      <c r="D13" s="357"/>
      <c r="E13" s="357"/>
      <c r="F13" s="357"/>
      <c r="G13" s="357"/>
      <c r="H13" s="354"/>
      <c r="I13" s="357"/>
      <c r="J13" s="354"/>
      <c r="K13" s="354"/>
      <c r="L13" s="354"/>
      <c r="M13" s="354"/>
      <c r="N13" s="354"/>
      <c r="O13" s="354"/>
      <c r="P13" s="354"/>
    </row>
    <row r="14" spans="1:16" x14ac:dyDescent="0.25">
      <c r="A14" s="354"/>
      <c r="B14" s="359"/>
      <c r="C14" s="354"/>
      <c r="D14" s="354"/>
      <c r="E14" s="357"/>
      <c r="F14" s="357"/>
      <c r="G14" s="357"/>
      <c r="H14" s="354"/>
      <c r="I14" s="357"/>
      <c r="J14" s="354"/>
      <c r="K14" s="354"/>
      <c r="L14" s="354"/>
      <c r="M14" s="354"/>
      <c r="N14" s="354"/>
      <c r="O14" s="354"/>
      <c r="P14" s="354"/>
    </row>
    <row r="15" spans="1:16" x14ac:dyDescent="0.25">
      <c r="A15" s="354"/>
      <c r="B15" s="359"/>
      <c r="C15" s="357"/>
      <c r="D15" s="357"/>
      <c r="E15" s="357"/>
      <c r="F15" s="357"/>
      <c r="G15" s="357"/>
      <c r="H15" s="354"/>
      <c r="I15" s="357"/>
      <c r="J15" s="354"/>
      <c r="K15" s="354"/>
      <c r="L15" s="354"/>
      <c r="M15" s="354"/>
      <c r="N15" s="354"/>
      <c r="O15" s="354"/>
      <c r="P15" s="354"/>
    </row>
    <row r="16" spans="1:16" x14ac:dyDescent="0.25">
      <c r="A16" s="354"/>
      <c r="B16" s="359"/>
      <c r="C16" s="357"/>
      <c r="D16" s="357"/>
      <c r="E16" s="357"/>
      <c r="F16" s="357"/>
      <c r="G16" s="357"/>
      <c r="H16" s="354"/>
      <c r="I16" s="357"/>
      <c r="J16" s="354"/>
      <c r="K16" s="354"/>
      <c r="L16" s="354"/>
      <c r="M16" s="354"/>
      <c r="N16" s="354"/>
      <c r="O16" s="354"/>
      <c r="P16" s="354"/>
    </row>
    <row r="17" spans="1:16" x14ac:dyDescent="0.25">
      <c r="A17" s="354"/>
      <c r="B17" s="359"/>
      <c r="C17" s="357"/>
      <c r="D17" s="357"/>
      <c r="E17" s="357"/>
      <c r="F17" s="357"/>
      <c r="G17" s="357"/>
      <c r="H17" s="354"/>
      <c r="I17" s="357"/>
      <c r="J17" s="354"/>
      <c r="K17" s="354"/>
      <c r="L17" s="354"/>
      <c r="M17" s="354"/>
      <c r="N17" s="354"/>
      <c r="O17" s="354"/>
      <c r="P17" s="354"/>
    </row>
    <row r="18" spans="1:16" x14ac:dyDescent="0.25">
      <c r="A18" s="354"/>
      <c r="B18" s="359"/>
      <c r="C18" s="357"/>
      <c r="D18" s="357"/>
      <c r="E18" s="357"/>
      <c r="F18" s="357"/>
      <c r="G18" s="357"/>
      <c r="H18" s="357"/>
      <c r="I18" s="357"/>
      <c r="J18" s="354"/>
      <c r="K18" s="354"/>
      <c r="L18" s="354"/>
      <c r="M18" s="354"/>
      <c r="N18" s="354"/>
      <c r="O18" s="354"/>
      <c r="P18" s="354"/>
    </row>
    <row r="19" spans="1:16" x14ac:dyDescent="0.25">
      <c r="A19" s="354"/>
      <c r="B19" s="359"/>
      <c r="C19" s="354"/>
      <c r="D19" s="354"/>
      <c r="E19" s="357"/>
      <c r="F19" s="357"/>
      <c r="G19" s="357"/>
      <c r="H19" s="357"/>
      <c r="I19" s="357"/>
      <c r="J19" s="358"/>
      <c r="K19" s="358"/>
      <c r="L19" s="358"/>
      <c r="M19" s="358"/>
      <c r="N19" s="354"/>
      <c r="O19" s="354"/>
      <c r="P19" s="354"/>
    </row>
    <row r="20" spans="1:16" x14ac:dyDescent="0.25">
      <c r="A20" s="354"/>
      <c r="B20" s="359"/>
      <c r="C20" s="354"/>
      <c r="D20" s="354"/>
      <c r="E20" s="357"/>
      <c r="F20" s="357"/>
      <c r="G20" s="357"/>
      <c r="H20" s="357"/>
      <c r="I20" s="357"/>
      <c r="J20" s="358"/>
      <c r="K20" s="358"/>
      <c r="L20" s="358"/>
      <c r="M20" s="358"/>
      <c r="N20" s="354"/>
      <c r="O20" s="354"/>
      <c r="P20" s="354"/>
    </row>
    <row r="21" spans="1:16" x14ac:dyDescent="0.25">
      <c r="A21" s="354"/>
      <c r="B21" s="359"/>
      <c r="C21" s="354"/>
      <c r="D21" s="354"/>
      <c r="E21" s="357"/>
      <c r="F21" s="357"/>
      <c r="G21" s="357"/>
      <c r="H21" s="357"/>
      <c r="I21" s="357"/>
      <c r="J21" s="358"/>
      <c r="K21" s="358"/>
      <c r="L21" s="358"/>
      <c r="M21" s="358"/>
      <c r="N21" s="354"/>
      <c r="O21" s="354"/>
      <c r="P21" s="354"/>
    </row>
    <row r="22" spans="1:16" x14ac:dyDescent="0.25">
      <c r="A22" s="354"/>
      <c r="B22" s="359"/>
      <c r="C22" s="357"/>
      <c r="D22" s="357"/>
      <c r="E22" s="357"/>
      <c r="F22" s="357"/>
      <c r="G22" s="357"/>
      <c r="H22" s="357"/>
      <c r="I22" s="357"/>
      <c r="J22" s="354"/>
      <c r="K22" s="354"/>
      <c r="L22" s="354"/>
      <c r="M22" s="354"/>
      <c r="N22" s="354"/>
      <c r="O22" s="354"/>
      <c r="P22" s="354"/>
    </row>
    <row r="23" spans="1:16" x14ac:dyDescent="0.25">
      <c r="A23" s="354"/>
      <c r="B23" s="359"/>
      <c r="C23" s="357"/>
      <c r="D23" s="357"/>
      <c r="E23" s="357"/>
      <c r="F23" s="357"/>
      <c r="G23" s="357"/>
      <c r="H23" s="354"/>
      <c r="I23" s="354"/>
      <c r="J23" s="354"/>
      <c r="K23" s="354"/>
      <c r="L23" s="354"/>
      <c r="M23" s="354"/>
      <c r="N23" s="354"/>
      <c r="O23" s="354"/>
      <c r="P23" s="354"/>
    </row>
    <row r="24" spans="1:16" x14ac:dyDescent="0.25">
      <c r="A24" s="354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</row>
    <row r="25" spans="1:16" x14ac:dyDescent="0.25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</row>
    <row r="26" spans="1:16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</row>
    <row r="27" spans="1:16" x14ac:dyDescent="0.25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</row>
    <row r="28" spans="1:16" x14ac:dyDescent="0.25">
      <c r="A28" s="354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</row>
    <row r="29" spans="1:16" x14ac:dyDescent="0.25">
      <c r="A29" s="354"/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</row>
    <row r="30" spans="1:16" x14ac:dyDescent="0.25">
      <c r="A30" s="354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</row>
    <row r="31" spans="1:16" x14ac:dyDescent="0.25">
      <c r="A31" s="354"/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</row>
    <row r="32" spans="1:16" x14ac:dyDescent="0.25">
      <c r="A32" s="354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</row>
    <row r="33" spans="1:16" x14ac:dyDescent="0.25">
      <c r="A33" s="354"/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</row>
    <row r="34" spans="1:16" x14ac:dyDescent="0.25">
      <c r="A34" s="354"/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</row>
    <row r="35" spans="1:16" x14ac:dyDescent="0.25">
      <c r="A35" s="354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</row>
    <row r="36" spans="1:16" x14ac:dyDescent="0.25">
      <c r="A36" s="354"/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</row>
    <row r="37" spans="1:16" x14ac:dyDescent="0.25">
      <c r="A37" s="354"/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</row>
    <row r="38" spans="1:16" x14ac:dyDescent="0.25">
      <c r="A38" s="354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</row>
  </sheetData>
  <sheetProtection algorithmName="SHA-512" hashValue="3yIKgX5ekDhi4SPLUNR/0fPt7dhLxSShIsPEkiHZ+SQRb3Gu3ntnXqmQnF8I+fusrxpocEgWuNc/MNK88+1q3Q==" saltValue="k88ogoPJPw0ljW1KfnbReQ==" spinCount="100000" sheet="1" objects="1" scenarios="1" selectLockedCells="1"/>
  <mergeCells count="4">
    <mergeCell ref="B9:B23"/>
    <mergeCell ref="J19:M21"/>
    <mergeCell ref="E7:F7"/>
    <mergeCell ref="D9:G10"/>
  </mergeCells>
  <hyperlinks>
    <hyperlink ref="D9:D10" location="HOMBRES!A1" tooltip="RESULTADOS" display="RESULTADOS" xr:uid="{03AF8C4F-1DFC-4ABB-924A-513119B8B1C5}"/>
    <hyperlink ref="D9:F10" location="RESULTADOS!A1" tooltip="RESULTADOS" display="INTRODUCIR RESULTADOS" xr:uid="{63463D32-173C-4958-9D6C-842384C6A80C}"/>
  </hyperlinks>
  <printOptions horizontalCentered="1" verticalCentered="1"/>
  <pageMargins left="0" right="0" top="0" bottom="0" header="0" footer="0"/>
  <pageSetup orientation="landscape" horizontalDpi="0" verticalDpi="0" r:id="rId1"/>
  <headerFooter scaleWithDoc="0">
    <oddHeader xml:space="preserve">&amp;L                                
&amp;C
&amp;R
</oddHead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00A-09B8-4BAC-AE8E-7B3C437EE44F}">
  <sheetPr codeName="Hoja1">
    <pageSetUpPr fitToPage="1"/>
  </sheetPr>
  <dimension ref="A1:X215"/>
  <sheetViews>
    <sheetView showGridLines="0" showRowColHeaders="0" zoomScaleNormal="100" workbookViewId="0">
      <selection activeCell="B6" sqref="B6:B12"/>
    </sheetView>
  </sheetViews>
  <sheetFormatPr baseColWidth="10" defaultColWidth="0" defaultRowHeight="0" customHeight="1" zeroHeight="1" x14ac:dyDescent="0.25"/>
  <cols>
    <col min="1" max="1" width="4.5546875" customWidth="1"/>
    <col min="2" max="2" width="4.5546875" style="64" customWidth="1"/>
    <col min="3" max="3" width="4.21875" style="64" customWidth="1"/>
    <col min="4" max="4" width="25" style="3" bestFit="1" customWidth="1"/>
    <col min="5" max="5" width="11.109375" style="3" bestFit="1" customWidth="1"/>
    <col min="6" max="6" width="8.6640625" style="3" bestFit="1" customWidth="1"/>
    <col min="7" max="7" width="3" style="4" customWidth="1"/>
    <col min="8" max="8" width="10.44140625" style="3" customWidth="1"/>
    <col min="9" max="9" width="13.88671875" style="3" customWidth="1"/>
    <col min="10" max="10" width="16.77734375" style="3" customWidth="1"/>
    <col min="11" max="11" width="8.6640625" style="3" bestFit="1" customWidth="1"/>
    <col min="12" max="12" width="3.33203125" style="5" customWidth="1"/>
    <col min="13" max="13" width="14.33203125" style="3" bestFit="1" customWidth="1"/>
    <col min="14" max="14" width="11.109375" customWidth="1"/>
    <col min="15" max="15" width="8.6640625" customWidth="1"/>
    <col min="16" max="16" width="6.77734375" customWidth="1"/>
    <col min="17" max="17" width="10.6640625" hidden="1" customWidth="1"/>
    <col min="18" max="18" width="9.33203125" hidden="1" customWidth="1"/>
    <col min="19" max="19" width="6.109375" hidden="1" customWidth="1"/>
    <col min="20" max="20" width="2.21875" hidden="1" customWidth="1"/>
    <col min="21" max="21" width="13.88671875" hidden="1" customWidth="1"/>
    <col min="22" max="22" width="11.21875" hidden="1" customWidth="1"/>
    <col min="23" max="24" width="12.77734375" hidden="1" customWidth="1"/>
    <col min="25" max="16384" width="11.21875" hidden="1"/>
  </cols>
  <sheetData>
    <row r="1" spans="1:16" s="53" customFormat="1" ht="15.05" customHeight="1" x14ac:dyDescent="0.25">
      <c r="A1" s="91"/>
      <c r="B1" s="91"/>
      <c r="C1" s="91"/>
      <c r="E1" s="3"/>
      <c r="F1" s="3"/>
      <c r="G1" s="4"/>
      <c r="H1" s="3"/>
      <c r="I1" s="325" t="s">
        <v>181</v>
      </c>
      <c r="J1" s="325"/>
      <c r="K1" s="3"/>
      <c r="L1" s="5"/>
      <c r="M1" s="3"/>
      <c r="N1" s="91"/>
      <c r="O1" s="91"/>
      <c r="P1" s="91"/>
    </row>
    <row r="2" spans="1:16" s="321" customFormat="1" ht="15.05" customHeight="1" x14ac:dyDescent="0.25">
      <c r="E2" s="3"/>
      <c r="F2" s="3"/>
      <c r="G2" s="4"/>
      <c r="H2" s="3"/>
      <c r="I2" s="325"/>
      <c r="J2" s="325"/>
      <c r="K2" s="3"/>
      <c r="L2" s="5"/>
      <c r="M2" s="3"/>
    </row>
    <row r="3" spans="1:16" s="321" customFormat="1" ht="15.05" customHeight="1" x14ac:dyDescent="0.25">
      <c r="D3" s="362"/>
      <c r="E3" s="3"/>
      <c r="F3" s="3"/>
      <c r="G3" s="4"/>
      <c r="H3" s="3"/>
      <c r="J3" s="3"/>
      <c r="K3" s="3"/>
      <c r="L3" s="5"/>
      <c r="M3" s="3"/>
    </row>
    <row r="4" spans="1:16" s="53" customFormat="1" ht="15.05" customHeight="1" x14ac:dyDescent="0.25">
      <c r="A4" s="91"/>
      <c r="B4" s="91"/>
      <c r="C4" s="91"/>
      <c r="D4" s="363"/>
      <c r="E4" s="3"/>
      <c r="F4" s="3"/>
      <c r="G4" s="4"/>
      <c r="I4" s="384" t="s">
        <v>64</v>
      </c>
      <c r="J4" s="168">
        <v>2145879</v>
      </c>
      <c r="K4" s="3"/>
      <c r="L4" s="5"/>
      <c r="M4" s="3"/>
      <c r="N4" s="91"/>
      <c r="O4" s="91"/>
      <c r="P4" s="91"/>
    </row>
    <row r="5" spans="1:16" ht="15.05" customHeight="1" thickBot="1" x14ac:dyDescent="0.35">
      <c r="A5" s="48"/>
      <c r="B5" s="48"/>
      <c r="C5" s="48"/>
      <c r="D5" s="332"/>
      <c r="E5" s="332"/>
      <c r="F5" s="332"/>
      <c r="G5" s="91"/>
      <c r="K5" s="91"/>
      <c r="L5" s="91"/>
      <c r="M5" s="91"/>
      <c r="N5" s="91"/>
      <c r="O5" s="91"/>
      <c r="P5" s="91"/>
    </row>
    <row r="6" spans="1:16" ht="15.05" customHeight="1" thickBot="1" x14ac:dyDescent="0.3">
      <c r="A6" s="91"/>
      <c r="B6" s="360" t="s">
        <v>186</v>
      </c>
      <c r="C6" s="91"/>
      <c r="D6" s="334" t="s">
        <v>127</v>
      </c>
      <c r="E6" s="335"/>
      <c r="F6" s="336"/>
      <c r="H6" s="329" t="s">
        <v>5</v>
      </c>
      <c r="I6" s="330"/>
      <c r="J6" s="330"/>
      <c r="K6" s="331"/>
      <c r="M6" s="329" t="s">
        <v>61</v>
      </c>
      <c r="N6" s="330"/>
      <c r="O6" s="331"/>
      <c r="P6" s="91"/>
    </row>
    <row r="7" spans="1:16" ht="15.05" customHeight="1" thickBot="1" x14ac:dyDescent="0.3">
      <c r="A7" s="91"/>
      <c r="B7" s="360"/>
      <c r="C7" s="91"/>
      <c r="D7" s="42" t="s">
        <v>18</v>
      </c>
      <c r="E7" s="43" t="s">
        <v>6</v>
      </c>
      <c r="F7" s="44" t="s">
        <v>7</v>
      </c>
      <c r="H7" s="364" t="s">
        <v>18</v>
      </c>
      <c r="I7" s="365"/>
      <c r="J7" s="46" t="s">
        <v>6</v>
      </c>
      <c r="K7" s="47" t="s">
        <v>7</v>
      </c>
      <c r="M7" s="326" t="s">
        <v>62</v>
      </c>
      <c r="N7" s="327"/>
      <c r="O7" s="328"/>
      <c r="P7" s="91"/>
    </row>
    <row r="8" spans="1:16" ht="15.05" customHeight="1" x14ac:dyDescent="0.25">
      <c r="A8" s="91"/>
      <c r="B8" s="360"/>
      <c r="C8" s="91"/>
      <c r="D8" s="6" t="s">
        <v>78</v>
      </c>
      <c r="E8" s="7" t="s">
        <v>0</v>
      </c>
      <c r="F8" s="8"/>
      <c r="H8" s="382" t="s">
        <v>8</v>
      </c>
      <c r="I8" s="383"/>
      <c r="J8" s="92" t="s">
        <v>9</v>
      </c>
      <c r="K8" s="10"/>
      <c r="M8" s="45" t="s">
        <v>18</v>
      </c>
      <c r="N8" s="46" t="s">
        <v>6</v>
      </c>
      <c r="O8" s="47" t="s">
        <v>7</v>
      </c>
      <c r="P8" s="91"/>
    </row>
    <row r="9" spans="1:16" ht="15.05" customHeight="1" x14ac:dyDescent="0.25">
      <c r="A9" s="91"/>
      <c r="B9" s="360"/>
      <c r="C9" s="91"/>
      <c r="D9" s="6" t="s">
        <v>79</v>
      </c>
      <c r="E9" s="7" t="s">
        <v>1</v>
      </c>
      <c r="F9" s="12"/>
      <c r="H9" s="370" t="s">
        <v>88</v>
      </c>
      <c r="I9" s="371"/>
      <c r="J9" s="92" t="s">
        <v>10</v>
      </c>
      <c r="K9" s="12"/>
      <c r="M9" s="20" t="s">
        <v>72</v>
      </c>
      <c r="N9" s="7" t="s">
        <v>58</v>
      </c>
      <c r="O9" s="21"/>
      <c r="P9" s="91"/>
    </row>
    <row r="10" spans="1:16" ht="15.05" customHeight="1" thickBot="1" x14ac:dyDescent="0.3">
      <c r="A10" s="91"/>
      <c r="B10" s="360"/>
      <c r="C10" s="91"/>
      <c r="D10" s="6" t="s">
        <v>80</v>
      </c>
      <c r="E10" s="13" t="s">
        <v>2</v>
      </c>
      <c r="F10" s="11"/>
      <c r="H10" s="380" t="s">
        <v>89</v>
      </c>
      <c r="I10" s="381"/>
      <c r="J10" s="38" t="s">
        <v>12</v>
      </c>
      <c r="K10" s="16"/>
      <c r="M10" s="20" t="s">
        <v>73</v>
      </c>
      <c r="N10" s="7" t="s">
        <v>58</v>
      </c>
      <c r="O10" s="19"/>
      <c r="P10" s="91"/>
    </row>
    <row r="11" spans="1:16" ht="15.05" customHeight="1" thickBot="1" x14ac:dyDescent="0.3">
      <c r="A11" s="91"/>
      <c r="B11" s="360"/>
      <c r="C11" s="91"/>
      <c r="D11" s="6" t="s">
        <v>81</v>
      </c>
      <c r="E11" s="7" t="s">
        <v>3</v>
      </c>
      <c r="F11" s="12"/>
      <c r="H11" s="391" t="s">
        <v>67</v>
      </c>
      <c r="I11" s="392"/>
      <c r="J11" s="393" t="s">
        <v>68</v>
      </c>
      <c r="K11" s="394"/>
      <c r="M11" s="20" t="s">
        <v>85</v>
      </c>
      <c r="N11" s="7" t="s">
        <v>10</v>
      </c>
      <c r="O11" s="26"/>
      <c r="P11" s="91"/>
    </row>
    <row r="12" spans="1:16" ht="15.05" customHeight="1" thickBot="1" x14ac:dyDescent="0.3">
      <c r="A12" s="91"/>
      <c r="B12" s="360"/>
      <c r="C12" s="91"/>
      <c r="D12" s="17" t="s">
        <v>82</v>
      </c>
      <c r="E12" s="18" t="s">
        <v>4</v>
      </c>
      <c r="F12" s="23"/>
      <c r="M12" s="326" t="s">
        <v>87</v>
      </c>
      <c r="N12" s="327"/>
      <c r="O12" s="328"/>
      <c r="P12" s="91"/>
    </row>
    <row r="13" spans="1:16" ht="15.05" customHeight="1" thickBot="1" x14ac:dyDescent="0.3">
      <c r="A13" s="91"/>
      <c r="B13" s="91"/>
      <c r="C13" s="91"/>
      <c r="H13" s="329" t="s">
        <v>17</v>
      </c>
      <c r="I13" s="330"/>
      <c r="J13" s="330"/>
      <c r="K13" s="331"/>
      <c r="M13" s="6" t="s">
        <v>86</v>
      </c>
      <c r="N13" s="92" t="s">
        <v>60</v>
      </c>
      <c r="O13" s="36"/>
      <c r="P13" s="91"/>
    </row>
    <row r="14" spans="1:16" ht="15.05" customHeight="1" thickBot="1" x14ac:dyDescent="0.3">
      <c r="A14" s="91"/>
      <c r="B14" s="91"/>
      <c r="C14" s="91"/>
      <c r="D14" s="329" t="s">
        <v>13</v>
      </c>
      <c r="E14" s="330"/>
      <c r="F14" s="331"/>
      <c r="H14" s="364" t="s">
        <v>18</v>
      </c>
      <c r="I14" s="365"/>
      <c r="J14" s="46" t="s">
        <v>6</v>
      </c>
      <c r="K14" s="47" t="s">
        <v>7</v>
      </c>
      <c r="M14" s="17" t="s">
        <v>85</v>
      </c>
      <c r="N14" s="15" t="s">
        <v>10</v>
      </c>
      <c r="O14" s="16"/>
      <c r="P14" s="91"/>
    </row>
    <row r="15" spans="1:16" ht="15.05" customHeight="1" x14ac:dyDescent="0.25">
      <c r="A15" s="91"/>
      <c r="B15" s="91"/>
      <c r="C15" s="91"/>
      <c r="D15" s="39" t="s">
        <v>18</v>
      </c>
      <c r="E15" s="40" t="s">
        <v>6</v>
      </c>
      <c r="F15" s="41" t="s">
        <v>7</v>
      </c>
      <c r="H15" s="374" t="s">
        <v>19</v>
      </c>
      <c r="I15" s="375"/>
      <c r="J15" s="92" t="s">
        <v>10</v>
      </c>
      <c r="K15" s="12"/>
      <c r="M15" s="91"/>
      <c r="N15" s="91"/>
      <c r="O15" s="91"/>
      <c r="P15" s="91"/>
    </row>
    <row r="16" spans="1:16" ht="15.05" customHeight="1" x14ac:dyDescent="0.25">
      <c r="A16" s="91"/>
      <c r="B16" s="91"/>
      <c r="C16" s="91"/>
      <c r="D16" s="35" t="s">
        <v>14</v>
      </c>
      <c r="E16" s="7" t="s">
        <v>15</v>
      </c>
      <c r="F16" s="12"/>
      <c r="H16" s="376" t="s">
        <v>151</v>
      </c>
      <c r="I16" s="377"/>
      <c r="J16" s="92" t="s">
        <v>10</v>
      </c>
      <c r="K16" s="21"/>
      <c r="M16" s="91"/>
      <c r="N16" s="91"/>
      <c r="O16" s="91"/>
      <c r="P16" s="91"/>
    </row>
    <row r="17" spans="1:17" ht="15.05" customHeight="1" thickBot="1" x14ac:dyDescent="0.3">
      <c r="A17" s="91"/>
      <c r="B17" s="91"/>
      <c r="C17" s="91"/>
      <c r="D17" s="17" t="s">
        <v>16</v>
      </c>
      <c r="E17" s="18" t="s">
        <v>15</v>
      </c>
      <c r="F17" s="23"/>
      <c r="H17" s="370" t="s">
        <v>20</v>
      </c>
      <c r="I17" s="371"/>
      <c r="J17" s="92" t="s">
        <v>10</v>
      </c>
      <c r="K17" s="22"/>
      <c r="M17" s="322" t="s">
        <v>193</v>
      </c>
      <c r="N17" s="324" t="s">
        <v>194</v>
      </c>
      <c r="O17" s="324"/>
      <c r="P17" s="91"/>
    </row>
    <row r="18" spans="1:17" ht="15.05" customHeight="1" thickBot="1" x14ac:dyDescent="0.3">
      <c r="A18" s="91"/>
      <c r="B18" s="91"/>
      <c r="C18" s="91"/>
      <c r="H18" s="378" t="s">
        <v>148</v>
      </c>
      <c r="I18" s="379"/>
      <c r="J18" s="49" t="s">
        <v>10</v>
      </c>
      <c r="K18" s="50">
        <f>K15-K16</f>
        <v>0</v>
      </c>
      <c r="M18" s="323"/>
      <c r="N18" s="324"/>
      <c r="O18" s="324"/>
      <c r="P18" s="91"/>
    </row>
    <row r="19" spans="1:17" ht="15.05" customHeight="1" thickBot="1" x14ac:dyDescent="0.3">
      <c r="A19" s="91"/>
      <c r="B19" s="91"/>
      <c r="C19" s="91"/>
      <c r="D19" s="329" t="s">
        <v>71</v>
      </c>
      <c r="E19" s="330"/>
      <c r="F19" s="331"/>
      <c r="H19" s="366" t="s">
        <v>189</v>
      </c>
      <c r="I19" s="367"/>
      <c r="J19" s="65" t="s">
        <v>190</v>
      </c>
      <c r="K19" s="55">
        <v>0.5</v>
      </c>
      <c r="L19" s="482" t="s">
        <v>63</v>
      </c>
      <c r="M19" s="389" t="s">
        <v>193</v>
      </c>
      <c r="N19" s="385" t="s">
        <v>195</v>
      </c>
      <c r="O19" s="386"/>
      <c r="P19" s="91"/>
    </row>
    <row r="20" spans="1:17" ht="15.05" customHeight="1" x14ac:dyDescent="0.25">
      <c r="A20" s="91"/>
      <c r="B20" s="91"/>
      <c r="C20" s="91"/>
      <c r="D20" s="39" t="s">
        <v>18</v>
      </c>
      <c r="E20" s="40" t="s">
        <v>6</v>
      </c>
      <c r="F20" s="41" t="s">
        <v>7</v>
      </c>
      <c r="H20" s="368" t="s">
        <v>149</v>
      </c>
      <c r="I20" s="369"/>
      <c r="J20" s="49" t="s">
        <v>10</v>
      </c>
      <c r="K20" s="51">
        <f>+K17/K19</f>
        <v>0</v>
      </c>
      <c r="M20" s="390"/>
      <c r="N20" s="387"/>
      <c r="O20" s="388"/>
      <c r="P20" s="91"/>
    </row>
    <row r="21" spans="1:17" ht="15.05" customHeight="1" x14ac:dyDescent="0.25">
      <c r="A21" s="91"/>
      <c r="B21" s="91"/>
      <c r="C21" s="91"/>
      <c r="D21" s="37" t="s">
        <v>83</v>
      </c>
      <c r="E21" s="395" t="s">
        <v>58</v>
      </c>
      <c r="F21" s="10"/>
      <c r="H21" s="370" t="s">
        <v>21</v>
      </c>
      <c r="I21" s="371"/>
      <c r="J21" s="92" t="s">
        <v>10</v>
      </c>
      <c r="K21" s="12"/>
      <c r="N21" s="91"/>
      <c r="O21" s="91"/>
      <c r="P21" s="52"/>
      <c r="Q21" s="52"/>
    </row>
    <row r="22" spans="1:17" ht="15.05" customHeight="1" x14ac:dyDescent="0.25">
      <c r="A22" s="91"/>
      <c r="B22" s="91"/>
      <c r="C22" s="91"/>
      <c r="D22" s="37" t="s">
        <v>179</v>
      </c>
      <c r="E22" s="396" t="s">
        <v>59</v>
      </c>
      <c r="F22" s="12"/>
      <c r="H22" s="370" t="s">
        <v>22</v>
      </c>
      <c r="I22" s="371"/>
      <c r="J22" s="92" t="s">
        <v>10</v>
      </c>
      <c r="K22" s="12"/>
      <c r="N22" s="91"/>
      <c r="O22" s="91"/>
      <c r="P22" s="52"/>
      <c r="Q22" s="52"/>
    </row>
    <row r="23" spans="1:17" ht="15.05" customHeight="1" thickBot="1" x14ac:dyDescent="0.3">
      <c r="A23" s="91"/>
      <c r="B23" s="91"/>
      <c r="C23" s="91"/>
      <c r="D23" s="37" t="s">
        <v>84</v>
      </c>
      <c r="E23" s="397" t="s">
        <v>60</v>
      </c>
      <c r="F23" s="25"/>
      <c r="H23" s="372" t="s">
        <v>178</v>
      </c>
      <c r="I23" s="373"/>
      <c r="J23" s="38" t="s">
        <v>10</v>
      </c>
      <c r="K23" s="24"/>
      <c r="N23" s="91"/>
      <c r="O23" s="91"/>
      <c r="P23" s="52"/>
      <c r="Q23" s="52"/>
    </row>
    <row r="24" spans="1:17" ht="15.05" customHeight="1" x14ac:dyDescent="0.25">
      <c r="A24" s="91"/>
      <c r="B24" s="91"/>
      <c r="C24" s="91"/>
      <c r="D24" s="6" t="s">
        <v>180</v>
      </c>
      <c r="E24" s="396" t="s">
        <v>10</v>
      </c>
      <c r="F24" s="12"/>
      <c r="N24" s="91"/>
      <c r="O24" s="91"/>
      <c r="P24" s="52"/>
      <c r="Q24" s="52"/>
    </row>
    <row r="25" spans="1:17" ht="15.05" customHeight="1" thickBot="1" x14ac:dyDescent="0.3">
      <c r="A25" s="91"/>
      <c r="B25" s="91"/>
      <c r="C25" s="91"/>
      <c r="D25" s="14" t="s">
        <v>65</v>
      </c>
      <c r="E25" s="15" t="s">
        <v>60</v>
      </c>
      <c r="F25" s="16"/>
      <c r="N25" s="91"/>
      <c r="O25" s="91"/>
      <c r="P25" s="91"/>
    </row>
    <row r="26" spans="1:17" ht="15.05" customHeight="1" x14ac:dyDescent="0.25">
      <c r="A26" s="91"/>
      <c r="B26" s="91"/>
      <c r="C26" s="91"/>
      <c r="N26" s="91"/>
      <c r="O26" s="91"/>
      <c r="P26" s="91"/>
    </row>
    <row r="27" spans="1:17" ht="15.05" customHeight="1" x14ac:dyDescent="0.25">
      <c r="A27" s="91"/>
      <c r="B27" s="91"/>
      <c r="C27" s="91"/>
      <c r="N27" s="91"/>
      <c r="O27" s="91"/>
      <c r="P27" s="91"/>
    </row>
    <row r="28" spans="1:17" ht="15.05" customHeight="1" x14ac:dyDescent="0.25">
      <c r="A28" s="91"/>
      <c r="B28" s="91"/>
      <c r="C28" s="91"/>
      <c r="N28" s="91"/>
      <c r="O28" s="91"/>
      <c r="P28" s="91"/>
    </row>
    <row r="29" spans="1:17" s="321" customFormat="1" ht="15.05" customHeight="1" x14ac:dyDescent="0.25">
      <c r="D29" s="3"/>
      <c r="E29" s="3"/>
      <c r="F29" s="3"/>
      <c r="G29" s="4"/>
      <c r="H29" s="3"/>
      <c r="I29" s="3"/>
      <c r="J29" s="3"/>
      <c r="K29" s="3"/>
      <c r="L29" s="5"/>
      <c r="M29" s="3"/>
    </row>
    <row r="30" spans="1:17" ht="15.05" customHeight="1" x14ac:dyDescent="0.25">
      <c r="A30" s="91"/>
      <c r="B30" s="91"/>
      <c r="C30" s="91"/>
      <c r="G30" s="91"/>
      <c r="N30" s="91"/>
      <c r="O30" s="91"/>
      <c r="P30" s="91"/>
    </row>
    <row r="31" spans="1:17" ht="15.05" hidden="1" customHeight="1" x14ac:dyDescent="0.25">
      <c r="M31"/>
    </row>
    <row r="32" spans="1:17" ht="15.05" hidden="1" customHeight="1" x14ac:dyDescent="0.25">
      <c r="M32"/>
    </row>
    <row r="33" spans="4:13" ht="15.05" hidden="1" customHeight="1" x14ac:dyDescent="0.25"/>
    <row r="34" spans="4:13" ht="15.05" hidden="1" customHeight="1" x14ac:dyDescent="0.25">
      <c r="D34"/>
    </row>
    <row r="35" spans="4:13" ht="15.05" hidden="1" customHeight="1" x14ac:dyDescent="0.25">
      <c r="D35"/>
    </row>
    <row r="36" spans="4:13" ht="15.05" hidden="1" customHeight="1" x14ac:dyDescent="0.25">
      <c r="D36"/>
    </row>
    <row r="37" spans="4:13" ht="15.05" hidden="1" customHeight="1" x14ac:dyDescent="0.25">
      <c r="D37"/>
    </row>
    <row r="38" spans="4:13" ht="15.05" hidden="1" customHeight="1" x14ac:dyDescent="0.25">
      <c r="D38"/>
    </row>
    <row r="39" spans="4:13" ht="15.05" hidden="1" customHeight="1" x14ac:dyDescent="0.25">
      <c r="D39"/>
    </row>
    <row r="40" spans="4:13" ht="15.05" hidden="1" customHeight="1" x14ac:dyDescent="0.25"/>
    <row r="41" spans="4:13" ht="15.05" hidden="1" customHeight="1" x14ac:dyDescent="0.25"/>
    <row r="42" spans="4:13" ht="15.05" hidden="1" customHeight="1" x14ac:dyDescent="0.25">
      <c r="D42" s="27"/>
      <c r="E42" s="27"/>
      <c r="F42" s="27"/>
      <c r="H42" s="27"/>
      <c r="I42" s="27"/>
      <c r="J42" s="27"/>
      <c r="K42" s="27"/>
      <c r="L42" s="27"/>
      <c r="M42" s="27"/>
    </row>
    <row r="43" spans="4:13" ht="15.05" hidden="1" customHeight="1" x14ac:dyDescent="0.25"/>
    <row r="44" spans="4:13" ht="15.05" hidden="1" customHeight="1" x14ac:dyDescent="0.25"/>
    <row r="45" spans="4:13" ht="15.05" hidden="1" customHeight="1" x14ac:dyDescent="0.25"/>
    <row r="46" spans="4:13" ht="15.05" hidden="1" customHeight="1" x14ac:dyDescent="0.25"/>
    <row r="47" spans="4:13" ht="15.05" hidden="1" customHeight="1" x14ac:dyDescent="0.25"/>
    <row r="48" spans="4:13" ht="15.05" hidden="1" customHeight="1" x14ac:dyDescent="0.25"/>
    <row r="49" spans="6:13" ht="15.05" hidden="1" customHeight="1" x14ac:dyDescent="0.25"/>
    <row r="50" spans="6:13" ht="15.05" hidden="1" customHeight="1" x14ac:dyDescent="0.25"/>
    <row r="51" spans="6:13" ht="15.05" hidden="1" customHeight="1" x14ac:dyDescent="0.25"/>
    <row r="52" spans="6:13" ht="15.05" hidden="1" customHeight="1" x14ac:dyDescent="0.25"/>
    <row r="53" spans="6:13" ht="15.05" hidden="1" customHeight="1" x14ac:dyDescent="0.25">
      <c r="F53" s="4"/>
    </row>
    <row r="54" spans="6:13" ht="15.05" hidden="1" customHeight="1" x14ac:dyDescent="0.25">
      <c r="F54" s="4"/>
      <c r="M54" s="28"/>
    </row>
    <row r="55" spans="6:13" ht="15.05" hidden="1" customHeight="1" x14ac:dyDescent="0.25">
      <c r="F55" s="4"/>
      <c r="M55" s="28"/>
    </row>
    <row r="56" spans="6:13" ht="15.05" hidden="1" customHeight="1" x14ac:dyDescent="0.25">
      <c r="F56" s="4"/>
      <c r="M56" s="28"/>
    </row>
    <row r="57" spans="6:13" ht="15.05" hidden="1" customHeight="1" x14ac:dyDescent="0.25">
      <c r="F57" s="4"/>
    </row>
    <row r="58" spans="6:13" ht="15.05" hidden="1" customHeight="1" x14ac:dyDescent="0.25">
      <c r="F58" s="4"/>
    </row>
    <row r="59" spans="6:13" ht="15.05" hidden="1" customHeight="1" x14ac:dyDescent="0.25"/>
    <row r="60" spans="6:13" ht="15.05" hidden="1" customHeight="1" x14ac:dyDescent="0.25"/>
    <row r="61" spans="6:13" ht="15.05" hidden="1" customHeight="1" x14ac:dyDescent="0.25"/>
    <row r="62" spans="6:13" ht="15.05" hidden="1" customHeight="1" x14ac:dyDescent="0.25"/>
    <row r="63" spans="6:13" ht="15.05" hidden="1" customHeight="1" x14ac:dyDescent="0.25"/>
    <row r="64" spans="6:13" ht="15.05" hidden="1" customHeight="1" x14ac:dyDescent="0.25"/>
    <row r="65" spans="7:12" ht="15.05" hidden="1" customHeight="1" x14ac:dyDescent="0.25"/>
    <row r="66" spans="7:12" ht="15.05" hidden="1" customHeight="1" x14ac:dyDescent="0.25"/>
    <row r="67" spans="7:12" ht="15.05" hidden="1" customHeight="1" x14ac:dyDescent="0.25"/>
    <row r="68" spans="7:12" ht="15.05" hidden="1" customHeight="1" x14ac:dyDescent="0.25"/>
    <row r="69" spans="7:12" ht="15.05" hidden="1" customHeight="1" x14ac:dyDescent="0.25"/>
    <row r="70" spans="7:12" ht="15.05" hidden="1" customHeight="1" x14ac:dyDescent="0.25"/>
    <row r="71" spans="7:12" ht="15.05" hidden="1" customHeight="1" x14ac:dyDescent="0.25"/>
    <row r="72" spans="7:12" ht="15.05" hidden="1" customHeight="1" x14ac:dyDescent="0.25"/>
    <row r="73" spans="7:12" ht="15.05" hidden="1" customHeight="1" x14ac:dyDescent="0.25"/>
    <row r="74" spans="7:12" ht="15.05" hidden="1" customHeight="1" x14ac:dyDescent="0.25"/>
    <row r="75" spans="7:12" ht="15.05" hidden="1" customHeight="1" x14ac:dyDescent="0.25"/>
    <row r="76" spans="7:12" ht="15.05" hidden="1" customHeight="1" x14ac:dyDescent="0.25">
      <c r="G76" s="3"/>
      <c r="L76" s="3"/>
    </row>
    <row r="77" spans="7:12" ht="15.05" hidden="1" customHeight="1" x14ac:dyDescent="0.25">
      <c r="G77" s="3"/>
      <c r="L77" s="3"/>
    </row>
    <row r="78" spans="7:12" ht="15.05" hidden="1" customHeight="1" x14ac:dyDescent="0.25">
      <c r="G78" s="3"/>
      <c r="L78" s="3"/>
    </row>
    <row r="79" spans="7:12" ht="15.05" hidden="1" customHeight="1" x14ac:dyDescent="0.25">
      <c r="G79" s="3"/>
      <c r="L79" s="3"/>
    </row>
    <row r="80" spans="7:12" ht="15.05" hidden="1" customHeight="1" x14ac:dyDescent="0.25">
      <c r="G80" s="3"/>
      <c r="L80" s="3"/>
    </row>
    <row r="81" spans="4:12" ht="15.05" hidden="1" customHeight="1" x14ac:dyDescent="0.25">
      <c r="G81" s="3"/>
      <c r="L81" s="3"/>
    </row>
    <row r="82" spans="4:12" ht="15.05" hidden="1" customHeight="1" x14ac:dyDescent="0.25">
      <c r="G82" s="3"/>
      <c r="L82" s="3"/>
    </row>
    <row r="83" spans="4:12" ht="15.05" hidden="1" customHeight="1" x14ac:dyDescent="0.25">
      <c r="D83" s="29"/>
      <c r="G83" s="3"/>
      <c r="L83" s="3"/>
    </row>
    <row r="84" spans="4:12" ht="15.05" hidden="1" customHeight="1" x14ac:dyDescent="0.25">
      <c r="D84" s="30"/>
      <c r="G84" s="3"/>
      <c r="L84" s="3"/>
    </row>
    <row r="85" spans="4:12" ht="15.05" hidden="1" customHeight="1" x14ac:dyDescent="0.25">
      <c r="G85" s="3"/>
      <c r="L85" s="3"/>
    </row>
    <row r="86" spans="4:12" ht="15.05" hidden="1" customHeight="1" x14ac:dyDescent="0.25">
      <c r="G86" s="3"/>
      <c r="L86" s="3"/>
    </row>
    <row r="87" spans="4:12" ht="15.05" hidden="1" customHeight="1" x14ac:dyDescent="0.25">
      <c r="G87" s="3"/>
      <c r="L87" s="3"/>
    </row>
    <row r="88" spans="4:12" ht="15.05" hidden="1" customHeight="1" x14ac:dyDescent="0.25">
      <c r="G88" s="3"/>
      <c r="L88" s="3"/>
    </row>
    <row r="89" spans="4:12" ht="15.05" hidden="1" customHeight="1" x14ac:dyDescent="0.25">
      <c r="G89" s="3"/>
      <c r="L89" s="3"/>
    </row>
    <row r="90" spans="4:12" ht="15.05" hidden="1" customHeight="1" x14ac:dyDescent="0.25"/>
    <row r="91" spans="4:12" ht="15.05" hidden="1" customHeight="1" x14ac:dyDescent="0.25"/>
    <row r="92" spans="4:12" ht="15.05" hidden="1" customHeight="1" x14ac:dyDescent="0.25"/>
    <row r="93" spans="4:12" ht="15.05" hidden="1" customHeight="1" x14ac:dyDescent="0.25"/>
    <row r="94" spans="4:12" ht="15.05" hidden="1" customHeight="1" x14ac:dyDescent="0.25"/>
    <row r="95" spans="4:12" ht="15.05" hidden="1" customHeight="1" x14ac:dyDescent="0.25"/>
    <row r="96" spans="4:12" ht="15.05" hidden="1" customHeight="1" x14ac:dyDescent="0.25"/>
    <row r="97" ht="15.05" hidden="1" customHeight="1" x14ac:dyDescent="0.25"/>
    <row r="98" ht="15.05" hidden="1" customHeight="1" x14ac:dyDescent="0.25"/>
    <row r="99" ht="15.05" hidden="1" customHeight="1" x14ac:dyDescent="0.25"/>
    <row r="100" ht="15.05" hidden="1" customHeight="1" x14ac:dyDescent="0.25"/>
    <row r="101" ht="15.05" hidden="1" customHeight="1" x14ac:dyDescent="0.25"/>
    <row r="102" ht="15.05" hidden="1" customHeight="1" x14ac:dyDescent="0.25"/>
    <row r="103" ht="15.05" hidden="1" customHeight="1" x14ac:dyDescent="0.25"/>
    <row r="104" ht="15.05" hidden="1" customHeight="1" x14ac:dyDescent="0.25"/>
    <row r="105" ht="15.05" hidden="1" customHeight="1" x14ac:dyDescent="0.25"/>
    <row r="106" ht="15.05" hidden="1" customHeight="1" x14ac:dyDescent="0.25"/>
    <row r="107" ht="15.05" hidden="1" customHeight="1" x14ac:dyDescent="0.25"/>
    <row r="108" ht="15.05" hidden="1" customHeight="1" x14ac:dyDescent="0.25"/>
    <row r="109" ht="15.05" hidden="1" customHeight="1" x14ac:dyDescent="0.25"/>
    <row r="110" ht="15.05" hidden="1" customHeight="1" x14ac:dyDescent="0.25"/>
    <row r="111" ht="15.05" hidden="1" customHeight="1" x14ac:dyDescent="0.25"/>
    <row r="112" ht="15.05" hidden="1" customHeight="1" x14ac:dyDescent="0.25"/>
    <row r="113" spans="13:13" ht="15.05" hidden="1" customHeight="1" x14ac:dyDescent="0.25"/>
    <row r="114" spans="13:13" ht="15.05" hidden="1" customHeight="1" x14ac:dyDescent="0.25"/>
    <row r="115" spans="13:13" ht="15.05" hidden="1" customHeight="1" x14ac:dyDescent="0.25"/>
    <row r="116" spans="13:13" ht="15.05" hidden="1" customHeight="1" x14ac:dyDescent="0.25"/>
    <row r="117" spans="13:13" ht="15.05" hidden="1" customHeight="1" x14ac:dyDescent="0.25">
      <c r="M117" s="28"/>
    </row>
    <row r="118" spans="13:13" ht="15.05" hidden="1" customHeight="1" x14ac:dyDescent="0.25">
      <c r="M118" s="28"/>
    </row>
    <row r="119" spans="13:13" ht="15.05" hidden="1" customHeight="1" x14ac:dyDescent="0.25">
      <c r="M119" s="28"/>
    </row>
    <row r="120" spans="13:13" ht="15.05" hidden="1" customHeight="1" x14ac:dyDescent="0.25">
      <c r="M120" s="28"/>
    </row>
    <row r="121" spans="13:13" ht="15.05" hidden="1" customHeight="1" x14ac:dyDescent="0.25">
      <c r="M121" s="28"/>
    </row>
    <row r="122" spans="13:13" ht="15.05" hidden="1" customHeight="1" x14ac:dyDescent="0.25">
      <c r="M122" s="28"/>
    </row>
    <row r="123" spans="13:13" ht="15.05" hidden="1" customHeight="1" x14ac:dyDescent="0.25">
      <c r="M123" s="28"/>
    </row>
    <row r="124" spans="13:13" ht="15.05" hidden="1" customHeight="1" x14ac:dyDescent="0.25">
      <c r="M124" s="28"/>
    </row>
    <row r="125" spans="13:13" ht="15.05" hidden="1" customHeight="1" x14ac:dyDescent="0.25">
      <c r="M125" s="28"/>
    </row>
    <row r="126" spans="13:13" ht="15.05" hidden="1" customHeight="1" x14ac:dyDescent="0.25"/>
    <row r="127" spans="13:13" ht="15.05" hidden="1" customHeight="1" x14ac:dyDescent="0.25"/>
    <row r="128" spans="13:13" ht="15.05" hidden="1" customHeight="1" x14ac:dyDescent="0.25"/>
    <row r="129" ht="15.05" hidden="1" customHeight="1" x14ac:dyDescent="0.25"/>
    <row r="130" ht="15.05" hidden="1" customHeight="1" x14ac:dyDescent="0.25"/>
    <row r="131" ht="15.05" hidden="1" customHeight="1" x14ac:dyDescent="0.25"/>
    <row r="132" ht="15.05" hidden="1" customHeight="1" x14ac:dyDescent="0.25"/>
    <row r="133" ht="15.05" hidden="1" customHeight="1" x14ac:dyDescent="0.25"/>
    <row r="134" ht="15.05" hidden="1" customHeight="1" x14ac:dyDescent="0.25"/>
    <row r="135" ht="15.05" hidden="1" customHeight="1" x14ac:dyDescent="0.25"/>
    <row r="136" ht="15.05" hidden="1" customHeight="1" x14ac:dyDescent="0.25"/>
    <row r="137" ht="15.05" hidden="1" customHeight="1" x14ac:dyDescent="0.25"/>
    <row r="138" ht="15.05" hidden="1" customHeight="1" x14ac:dyDescent="0.25"/>
    <row r="139" ht="15.05" hidden="1" customHeight="1" x14ac:dyDescent="0.25"/>
    <row r="140" ht="15.05" hidden="1" customHeight="1" x14ac:dyDescent="0.25"/>
    <row r="141" ht="15.05" hidden="1" customHeight="1" x14ac:dyDescent="0.25"/>
    <row r="142" ht="15.05" hidden="1" customHeight="1" x14ac:dyDescent="0.25"/>
    <row r="143" ht="15.05" hidden="1" customHeight="1" x14ac:dyDescent="0.25"/>
    <row r="144" ht="15.05" hidden="1" customHeight="1" x14ac:dyDescent="0.25"/>
    <row r="145" ht="15.05" hidden="1" customHeight="1" x14ac:dyDescent="0.25"/>
    <row r="146" ht="15.05" hidden="1" customHeight="1" x14ac:dyDescent="0.25"/>
    <row r="147" ht="15.05" hidden="1" customHeight="1" x14ac:dyDescent="0.25"/>
    <row r="148" ht="15.05" hidden="1" customHeight="1" x14ac:dyDescent="0.25"/>
    <row r="149" ht="15.05" hidden="1" customHeight="1" x14ac:dyDescent="0.25"/>
    <row r="150" ht="15.05" hidden="1" customHeight="1" x14ac:dyDescent="0.25"/>
    <row r="151" ht="15.05" hidden="1" customHeight="1" x14ac:dyDescent="0.25"/>
    <row r="152" ht="15.05" hidden="1" customHeight="1" x14ac:dyDescent="0.25"/>
    <row r="153" ht="15.05" hidden="1" customHeight="1" x14ac:dyDescent="0.25"/>
    <row r="154" ht="15.05" hidden="1" customHeight="1" x14ac:dyDescent="0.25"/>
    <row r="155" ht="15.05" hidden="1" customHeight="1" x14ac:dyDescent="0.25"/>
    <row r="156" ht="15.05" hidden="1" customHeight="1" x14ac:dyDescent="0.25"/>
    <row r="157" ht="15.05" hidden="1" customHeight="1" x14ac:dyDescent="0.25"/>
    <row r="158" ht="15.05" hidden="1" customHeight="1" x14ac:dyDescent="0.25"/>
    <row r="159" ht="15.05" hidden="1" customHeight="1" x14ac:dyDescent="0.25"/>
    <row r="160" ht="15.05" hidden="1" customHeight="1" x14ac:dyDescent="0.25"/>
    <row r="161" ht="15.05" hidden="1" customHeight="1" x14ac:dyDescent="0.25"/>
    <row r="162" ht="15.05" hidden="1" customHeight="1" x14ac:dyDescent="0.25"/>
    <row r="163" ht="15.05" hidden="1" customHeight="1" x14ac:dyDescent="0.25"/>
    <row r="164" ht="15.05" hidden="1" customHeight="1" x14ac:dyDescent="0.25"/>
    <row r="165" ht="15.05" hidden="1" customHeight="1" x14ac:dyDescent="0.25"/>
    <row r="166" ht="15.05" hidden="1" customHeight="1" x14ac:dyDescent="0.25"/>
    <row r="167" ht="15.05" hidden="1" customHeight="1" x14ac:dyDescent="0.25"/>
    <row r="168" ht="15.05" hidden="1" customHeight="1" x14ac:dyDescent="0.25"/>
    <row r="169" ht="15.05" hidden="1" customHeight="1" x14ac:dyDescent="0.25"/>
    <row r="170" ht="15.05" hidden="1" customHeight="1" x14ac:dyDescent="0.25"/>
    <row r="171" ht="15.05" hidden="1" customHeight="1" x14ac:dyDescent="0.25"/>
    <row r="172" ht="15.05" hidden="1" customHeight="1" x14ac:dyDescent="0.25"/>
    <row r="173" ht="15.05" hidden="1" customHeight="1" x14ac:dyDescent="0.25"/>
    <row r="174" ht="15.05" hidden="1" customHeight="1" x14ac:dyDescent="0.25"/>
    <row r="175" ht="15.05" hidden="1" customHeight="1" x14ac:dyDescent="0.25"/>
    <row r="176" ht="15.05" hidden="1" customHeight="1" x14ac:dyDescent="0.25"/>
    <row r="177" ht="15.05" hidden="1" customHeight="1" x14ac:dyDescent="0.25"/>
    <row r="178" ht="15.05" hidden="1" customHeight="1" x14ac:dyDescent="0.25"/>
    <row r="179" ht="15.05" hidden="1" customHeight="1" x14ac:dyDescent="0.25"/>
    <row r="180" ht="15.05" hidden="1" customHeight="1" x14ac:dyDescent="0.25"/>
    <row r="181" ht="15.05" hidden="1" customHeight="1" x14ac:dyDescent="0.25"/>
    <row r="182" ht="15.05" hidden="1" customHeight="1" x14ac:dyDescent="0.25"/>
    <row r="183" ht="15.05" hidden="1" customHeight="1" x14ac:dyDescent="0.25"/>
    <row r="184" ht="15.05" hidden="1" customHeight="1" x14ac:dyDescent="0.25"/>
    <row r="185" ht="15.05" hidden="1" customHeight="1" x14ac:dyDescent="0.25"/>
    <row r="186" ht="15.05" hidden="1" customHeight="1" x14ac:dyDescent="0.25"/>
    <row r="187" ht="15.05" hidden="1" customHeight="1" x14ac:dyDescent="0.25"/>
    <row r="188" ht="15.05" hidden="1" customHeight="1" x14ac:dyDescent="0.25"/>
    <row r="189" ht="15.05" hidden="1" customHeight="1" x14ac:dyDescent="0.25"/>
    <row r="190" ht="15.05" hidden="1" customHeight="1" x14ac:dyDescent="0.25"/>
    <row r="191" ht="15.05" hidden="1" customHeight="1" x14ac:dyDescent="0.25"/>
    <row r="192" ht="15.05" hidden="1" customHeight="1" x14ac:dyDescent="0.25"/>
    <row r="193" spans="4:11" ht="15.05" hidden="1" customHeight="1" x14ac:dyDescent="0.25"/>
    <row r="194" spans="4:11" ht="15.05" hidden="1" customHeight="1" x14ac:dyDescent="0.25"/>
    <row r="195" spans="4:11" ht="15.05" hidden="1" customHeight="1" x14ac:dyDescent="0.25"/>
    <row r="196" spans="4:11" ht="15.05" hidden="1" customHeight="1" x14ac:dyDescent="0.25"/>
    <row r="197" spans="4:11" ht="15.05" hidden="1" customHeight="1" x14ac:dyDescent="0.25"/>
    <row r="198" spans="4:11" ht="15.05" hidden="1" customHeight="1" x14ac:dyDescent="0.25"/>
    <row r="199" spans="4:11" ht="15.05" hidden="1" customHeight="1" x14ac:dyDescent="0.25"/>
    <row r="200" spans="4:11" ht="15.05" hidden="1" customHeight="1" x14ac:dyDescent="0.25"/>
    <row r="201" spans="4:11" ht="15.05" hidden="1" customHeight="1" x14ac:dyDescent="0.25"/>
    <row r="202" spans="4:11" ht="15.05" hidden="1" customHeight="1" x14ac:dyDescent="0.25"/>
    <row r="203" spans="4:11" ht="15.05" hidden="1" customHeight="1" x14ac:dyDescent="0.25"/>
    <row r="204" spans="4:11" ht="15.05" hidden="1" customHeight="1" x14ac:dyDescent="0.25"/>
    <row r="205" spans="4:11" ht="15.05" hidden="1" customHeight="1" x14ac:dyDescent="0.25">
      <c r="D205" s="333" t="s">
        <v>70</v>
      </c>
      <c r="E205" s="333"/>
      <c r="F205" s="333"/>
      <c r="G205" s="333"/>
      <c r="H205" s="333"/>
      <c r="I205" s="333"/>
      <c r="J205" s="333"/>
      <c r="K205" s="333"/>
    </row>
    <row r="206" spans="4:11" ht="15.05" hidden="1" customHeight="1" x14ac:dyDescent="0.25">
      <c r="D206" s="2" t="s">
        <v>69</v>
      </c>
      <c r="E206" s="2" t="s">
        <v>66</v>
      </c>
      <c r="F206" s="31" t="s">
        <v>74</v>
      </c>
      <c r="G206" s="9" t="s">
        <v>75</v>
      </c>
      <c r="H206" s="32" t="s">
        <v>76</v>
      </c>
      <c r="I206" s="32"/>
      <c r="J206" s="32" t="s">
        <v>77</v>
      </c>
      <c r="K206" s="32"/>
    </row>
    <row r="207" spans="4:11" ht="15.05" hidden="1" customHeight="1" x14ac:dyDescent="0.25">
      <c r="D207" s="31" t="e">
        <f>(0.953*LN(K17))+(0.139*(F9/F10^2))+(0.718*LN(K11))+(0.053*F11)-15.745</f>
        <v>#NUM!</v>
      </c>
      <c r="E207" s="33">
        <f>EXP(1)</f>
        <v>2.7182818284590451</v>
      </c>
      <c r="F207" s="31" t="e">
        <f>+E207^D207</f>
        <v>#NUM!</v>
      </c>
      <c r="G207" s="34" t="e">
        <f>1+F207</f>
        <v>#NUM!</v>
      </c>
      <c r="H207" s="34" t="e">
        <f>+F207*100</f>
        <v>#NUM!</v>
      </c>
      <c r="I207" s="34"/>
      <c r="J207" s="31" t="e">
        <f>+H207/G207</f>
        <v>#NUM!</v>
      </c>
      <c r="K207" s="32"/>
    </row>
    <row r="208" spans="4:11" ht="15.05" hidden="1" customHeight="1" x14ac:dyDescent="0.25"/>
    <row r="209" ht="15.05" hidden="1" customHeight="1" x14ac:dyDescent="0.25"/>
    <row r="210" ht="15.05" hidden="1" customHeight="1" x14ac:dyDescent="0.25"/>
    <row r="211" ht="15.05" hidden="1" customHeight="1" x14ac:dyDescent="0.25"/>
    <row r="212" ht="15.05" hidden="1" customHeight="1" x14ac:dyDescent="0.25"/>
    <row r="213" ht="15.05" hidden="1" customHeight="1" x14ac:dyDescent="0.25"/>
    <row r="214" ht="0" hidden="1" customHeight="1" x14ac:dyDescent="0.25"/>
    <row r="215" ht="0" hidden="1" customHeight="1" x14ac:dyDescent="0.25"/>
  </sheetData>
  <sheetProtection algorithmName="SHA-512" hashValue="0Ed7PUyB7x/HFcdVJ+I5EeKBTjGEdcBYDPPiEFVoZQH6jk8Wn6z5bFbN5kKEXss7I4ESTMaXc3Uj+UwhRebh0Q==" saltValue="pUVGU1fygkFIykkd1sZ9tA==" spinCount="100000" sheet="1" objects="1" scenarios="1" selectLockedCells="1"/>
  <mergeCells count="31">
    <mergeCell ref="D205:K205"/>
    <mergeCell ref="D19:F19"/>
    <mergeCell ref="D6:F6"/>
    <mergeCell ref="D14:F14"/>
    <mergeCell ref="H6:K6"/>
    <mergeCell ref="H7:I7"/>
    <mergeCell ref="H14:I14"/>
    <mergeCell ref="H19:I19"/>
    <mergeCell ref="H20:I20"/>
    <mergeCell ref="H21:I21"/>
    <mergeCell ref="H22:I22"/>
    <mergeCell ref="H23:I23"/>
    <mergeCell ref="H15:I15"/>
    <mergeCell ref="H16:I16"/>
    <mergeCell ref="H17:I17"/>
    <mergeCell ref="H18:I18"/>
    <mergeCell ref="M7:O7"/>
    <mergeCell ref="M12:O12"/>
    <mergeCell ref="H13:K13"/>
    <mergeCell ref="M6:O6"/>
    <mergeCell ref="D5:F5"/>
    <mergeCell ref="H10:I10"/>
    <mergeCell ref="H9:I9"/>
    <mergeCell ref="H8:I8"/>
    <mergeCell ref="I1:J2"/>
    <mergeCell ref="H11:I11"/>
    <mergeCell ref="M17:M18"/>
    <mergeCell ref="N17:O18"/>
    <mergeCell ref="M19:M20"/>
    <mergeCell ref="N19:O20"/>
    <mergeCell ref="B6:B12"/>
  </mergeCells>
  <conditionalFormatting sqref="K19">
    <cfRule type="cellIs" dxfId="177" priority="1" operator="lessThanOrEqual">
      <formula>0.5</formula>
    </cfRule>
  </conditionalFormatting>
  <hyperlinks>
    <hyperlink ref="J55:K55" r:id="rId1" location="'RCCV MUJERES'!A1" tooltip="MUJERES" display="MUJERES" xr:uid="{357B7958-DF69-4AE7-A935-4ECD6F837710}"/>
    <hyperlink ref="L19" location="'Martin-Hopkins'!D14" tooltip="FACTOR MARTIN-HOPKINS" display="+" xr:uid="{A30B98E3-0F7F-4ACC-A443-FCBE65525335}"/>
    <hyperlink ref="J4" location="INICIO!M4" tooltip="IDENTIFICACIÓN" display="INICIO!M4" xr:uid="{F50D51B3-C717-4322-90EB-C3D975754E4A}"/>
    <hyperlink ref="B6:B10" location="INICIO!A1" tooltip="INICIO" display="INICIO" xr:uid="{0B3D775B-512C-4042-9DC3-560150BE5663}"/>
    <hyperlink ref="N17:O18" location="HOMBRES!K1" tooltip="VER RCV HOMBRES" display="RCV HOMBRES" xr:uid="{75A6C675-6CF6-4E0D-A706-CF1C99A24C80}"/>
    <hyperlink ref="N19:O20" location="MUJERES!K1" tooltip="VER RCV MUJERES" display="RCV MUJERES" xr:uid="{072CCB30-749B-462B-87B5-4410E2ED553D}"/>
  </hyperlinks>
  <pageMargins left="0" right="0" top="0" bottom="0" header="0" footer="0"/>
  <pageSetup scale="81" fitToHeight="0" orientation="landscape" horizontalDpi="0" verticalDpi="0" r:id="rId2"/>
  <headerFooter>
    <oddHeader xml:space="preserve">&amp;L       
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18D1-53A1-4F65-BFD4-EF4CB4951D26}">
  <sheetPr codeName="Hoja2"/>
  <dimension ref="A1:Q33"/>
  <sheetViews>
    <sheetView showGridLines="0" zoomScaleNormal="100" workbookViewId="0">
      <selection activeCell="D14" sqref="D14:E16"/>
    </sheetView>
  </sheetViews>
  <sheetFormatPr baseColWidth="10" defaultColWidth="0" defaultRowHeight="12.45" zeroHeight="1" x14ac:dyDescent="0.2"/>
  <cols>
    <col min="1" max="1" width="11.21875" style="58" customWidth="1"/>
    <col min="2" max="2" width="15.6640625" style="58" customWidth="1"/>
    <col min="3" max="4" width="11.21875" style="58" customWidth="1"/>
    <col min="5" max="5" width="14.77734375" style="58" customWidth="1"/>
    <col min="6" max="6" width="4.44140625" style="58" customWidth="1"/>
    <col min="7" max="7" width="11.5546875" style="483" bestFit="1" customWidth="1"/>
    <col min="8" max="8" width="5.77734375" style="483" bestFit="1" customWidth="1"/>
    <col min="9" max="12" width="8.21875" style="483" bestFit="1" customWidth="1"/>
    <col min="13" max="13" width="6.109375" style="483" customWidth="1"/>
    <col min="14" max="15" width="11.21875" style="58" customWidth="1"/>
    <col min="16" max="16" width="13.77734375" style="58" customWidth="1"/>
    <col min="17" max="20" width="11.21875" style="58" customWidth="1"/>
    <col min="21" max="16384" width="11.21875" style="58" hidden="1"/>
  </cols>
  <sheetData>
    <row r="1" spans="1:16" ht="19.649999999999999" customHeight="1" thickBot="1" x14ac:dyDescent="0.25">
      <c r="A1" s="483"/>
      <c r="B1" s="483"/>
      <c r="C1" s="483"/>
      <c r="D1" s="483"/>
      <c r="E1" s="483"/>
      <c r="F1" s="483"/>
      <c r="G1" s="416" t="s">
        <v>198</v>
      </c>
      <c r="H1" s="417"/>
      <c r="I1" s="417"/>
      <c r="J1" s="417"/>
      <c r="K1" s="417"/>
      <c r="L1" s="417"/>
      <c r="M1" s="418"/>
    </row>
    <row r="2" spans="1:16" ht="20.3" customHeight="1" x14ac:dyDescent="0.2">
      <c r="A2" s="483"/>
      <c r="B2" s="483"/>
      <c r="C2" s="483"/>
      <c r="D2" s="483"/>
      <c r="E2" s="483"/>
      <c r="F2" s="483"/>
      <c r="G2" s="427" t="s">
        <v>200</v>
      </c>
      <c r="H2" s="403" t="s">
        <v>23</v>
      </c>
      <c r="I2" s="404"/>
      <c r="J2" s="404"/>
      <c r="K2" s="404"/>
      <c r="L2" s="404"/>
      <c r="M2" s="405"/>
    </row>
    <row r="3" spans="1:16" ht="24.25" customHeight="1" thickBot="1" x14ac:dyDescent="0.25">
      <c r="A3" s="483"/>
      <c r="B3" s="483"/>
      <c r="C3" s="483"/>
      <c r="D3" s="483"/>
      <c r="E3" s="483"/>
      <c r="F3" s="483"/>
      <c r="G3" s="428"/>
      <c r="H3" s="424" t="s">
        <v>11</v>
      </c>
      <c r="I3" s="425" t="s">
        <v>24</v>
      </c>
      <c r="J3" s="425" t="s">
        <v>25</v>
      </c>
      <c r="K3" s="425" t="s">
        <v>26</v>
      </c>
      <c r="L3" s="425" t="s">
        <v>27</v>
      </c>
      <c r="M3" s="426" t="s">
        <v>28</v>
      </c>
    </row>
    <row r="4" spans="1:16" x14ac:dyDescent="0.2">
      <c r="A4" s="483"/>
      <c r="B4" s="483"/>
      <c r="C4" s="483"/>
      <c r="D4" s="483"/>
      <c r="E4" s="483"/>
      <c r="F4" s="483"/>
      <c r="G4" s="420" t="s">
        <v>57</v>
      </c>
      <c r="H4" s="421">
        <v>3.5</v>
      </c>
      <c r="I4" s="422">
        <v>3.4</v>
      </c>
      <c r="J4" s="422">
        <v>3.3</v>
      </c>
      <c r="K4" s="422">
        <v>3.3</v>
      </c>
      <c r="L4" s="422">
        <v>3.2</v>
      </c>
      <c r="M4" s="423">
        <v>3.1</v>
      </c>
    </row>
    <row r="5" spans="1:16" x14ac:dyDescent="0.2">
      <c r="A5" s="483"/>
      <c r="B5" s="483"/>
      <c r="C5" s="483"/>
      <c r="D5" s="483"/>
      <c r="E5" s="483"/>
      <c r="F5" s="483"/>
      <c r="G5" s="401" t="s">
        <v>29</v>
      </c>
      <c r="H5" s="406">
        <v>4</v>
      </c>
      <c r="I5" s="59">
        <v>3.9</v>
      </c>
      <c r="J5" s="59">
        <v>3.7</v>
      </c>
      <c r="K5" s="59">
        <v>3.6</v>
      </c>
      <c r="L5" s="59">
        <v>3.6</v>
      </c>
      <c r="M5" s="407">
        <v>3.4</v>
      </c>
    </row>
    <row r="6" spans="1:16" x14ac:dyDescent="0.2">
      <c r="A6" s="483"/>
      <c r="B6" s="483"/>
      <c r="C6" s="483"/>
      <c r="D6" s="483"/>
      <c r="E6" s="483"/>
      <c r="F6" s="483"/>
      <c r="G6" s="401" t="s">
        <v>30</v>
      </c>
      <c r="H6" s="406">
        <v>4.3</v>
      </c>
      <c r="I6" s="59">
        <v>4.0999999999999996</v>
      </c>
      <c r="J6" s="59">
        <v>4</v>
      </c>
      <c r="K6" s="59">
        <v>3.9</v>
      </c>
      <c r="L6" s="59">
        <v>3.8</v>
      </c>
      <c r="M6" s="408">
        <v>3.6</v>
      </c>
    </row>
    <row r="7" spans="1:16" x14ac:dyDescent="0.2">
      <c r="A7" s="483"/>
      <c r="B7" s="483"/>
      <c r="C7" s="483"/>
      <c r="D7" s="483"/>
      <c r="E7" s="483"/>
      <c r="F7" s="483"/>
      <c r="G7" s="401" t="s">
        <v>31</v>
      </c>
      <c r="H7" s="409">
        <v>4.5</v>
      </c>
      <c r="I7" s="59">
        <v>4.3</v>
      </c>
      <c r="J7" s="59">
        <v>4.0999999999999996</v>
      </c>
      <c r="K7" s="59">
        <v>4</v>
      </c>
      <c r="L7" s="59">
        <v>3.9</v>
      </c>
      <c r="M7" s="408">
        <v>3.9</v>
      </c>
    </row>
    <row r="8" spans="1:16" x14ac:dyDescent="0.2">
      <c r="A8" s="483"/>
      <c r="B8" s="483"/>
      <c r="C8" s="483"/>
      <c r="D8" s="483"/>
      <c r="E8" s="483"/>
      <c r="F8" s="483"/>
      <c r="G8" s="401" t="s">
        <v>32</v>
      </c>
      <c r="H8" s="409">
        <v>4.7</v>
      </c>
      <c r="I8" s="59">
        <v>4.4000000000000004</v>
      </c>
      <c r="J8" s="59">
        <v>4.3</v>
      </c>
      <c r="K8" s="59">
        <v>4.2</v>
      </c>
      <c r="L8" s="59">
        <v>4.0999999999999996</v>
      </c>
      <c r="M8" s="408">
        <v>3.9</v>
      </c>
    </row>
    <row r="9" spans="1:16" x14ac:dyDescent="0.2">
      <c r="A9" s="483"/>
      <c r="B9" s="483"/>
      <c r="C9" s="483"/>
      <c r="D9" s="483"/>
      <c r="E9" s="483"/>
      <c r="F9" s="483"/>
      <c r="G9" s="401" t="s">
        <v>33</v>
      </c>
      <c r="H9" s="409">
        <v>4.8</v>
      </c>
      <c r="I9" s="61">
        <v>4.5999999999999996</v>
      </c>
      <c r="J9" s="59">
        <v>4.4000000000000004</v>
      </c>
      <c r="K9" s="59">
        <v>4.2</v>
      </c>
      <c r="L9" s="59">
        <v>4.2</v>
      </c>
      <c r="M9" s="408">
        <v>4.0999999999999996</v>
      </c>
    </row>
    <row r="10" spans="1:16" x14ac:dyDescent="0.2">
      <c r="A10" s="483"/>
      <c r="B10" s="483"/>
      <c r="C10" s="483"/>
      <c r="D10" s="483"/>
      <c r="E10" s="483"/>
      <c r="F10" s="483"/>
      <c r="G10" s="401" t="s">
        <v>34</v>
      </c>
      <c r="H10" s="409">
        <v>4.9000000000000004</v>
      </c>
      <c r="I10" s="61">
        <v>4.5999999999999996</v>
      </c>
      <c r="J10" s="61">
        <v>4.5</v>
      </c>
      <c r="K10" s="59">
        <v>4.3</v>
      </c>
      <c r="L10" s="59">
        <v>4.3</v>
      </c>
      <c r="M10" s="408">
        <v>4.2</v>
      </c>
    </row>
    <row r="11" spans="1:16" x14ac:dyDescent="0.2">
      <c r="A11" s="483"/>
      <c r="B11" s="483"/>
      <c r="C11" s="483"/>
      <c r="D11" s="483"/>
      <c r="E11" s="483"/>
      <c r="F11" s="483"/>
      <c r="G11" s="401" t="s">
        <v>35</v>
      </c>
      <c r="H11" s="409">
        <v>5</v>
      </c>
      <c r="I11" s="61">
        <v>4.8</v>
      </c>
      <c r="J11" s="61">
        <v>4.5999999999999996</v>
      </c>
      <c r="K11" s="59">
        <v>4.4000000000000004</v>
      </c>
      <c r="L11" s="59">
        <v>4.3</v>
      </c>
      <c r="M11" s="408">
        <v>4.2</v>
      </c>
      <c r="P11" s="62"/>
    </row>
    <row r="12" spans="1:16" x14ac:dyDescent="0.2">
      <c r="A12" s="483"/>
      <c r="B12" s="483"/>
      <c r="C12" s="483"/>
      <c r="D12" s="483"/>
      <c r="E12" s="483"/>
      <c r="F12" s="483"/>
      <c r="G12" s="401" t="s">
        <v>36</v>
      </c>
      <c r="H12" s="409">
        <v>5.0999999999999996</v>
      </c>
      <c r="I12" s="61">
        <v>4.8</v>
      </c>
      <c r="J12" s="61">
        <v>4.5999999999999996</v>
      </c>
      <c r="K12" s="61">
        <v>4.5</v>
      </c>
      <c r="L12" s="59">
        <v>4.4000000000000004</v>
      </c>
      <c r="M12" s="408">
        <v>4.3</v>
      </c>
      <c r="P12" s="62"/>
    </row>
    <row r="13" spans="1:16" x14ac:dyDescent="0.2">
      <c r="A13" s="483"/>
      <c r="B13" s="483"/>
      <c r="C13" s="483"/>
      <c r="D13" s="483"/>
      <c r="E13" s="483"/>
      <c r="F13" s="483"/>
      <c r="G13" s="401" t="s">
        <v>37</v>
      </c>
      <c r="H13" s="409">
        <v>5.2</v>
      </c>
      <c r="I13" s="61">
        <v>4.9000000000000004</v>
      </c>
      <c r="J13" s="61">
        <v>4.7</v>
      </c>
      <c r="K13" s="61">
        <v>4.5999999999999996</v>
      </c>
      <c r="L13" s="59">
        <v>4.4000000000000004</v>
      </c>
      <c r="M13" s="408">
        <v>4.3</v>
      </c>
    </row>
    <row r="14" spans="1:16" x14ac:dyDescent="0.2">
      <c r="D14" s="419" t="s">
        <v>199</v>
      </c>
      <c r="E14" s="419"/>
      <c r="G14" s="401" t="s">
        <v>38</v>
      </c>
      <c r="H14" s="409">
        <v>5.3</v>
      </c>
      <c r="I14" s="61">
        <v>5</v>
      </c>
      <c r="J14" s="61">
        <v>4.8</v>
      </c>
      <c r="K14" s="61">
        <v>4.7</v>
      </c>
      <c r="L14" s="61">
        <v>4.5</v>
      </c>
      <c r="M14" s="408">
        <v>4.4000000000000004</v>
      </c>
    </row>
    <row r="15" spans="1:16" x14ac:dyDescent="0.2">
      <c r="D15" s="419"/>
      <c r="E15" s="419"/>
      <c r="G15" s="401" t="s">
        <v>39</v>
      </c>
      <c r="H15" s="409">
        <v>5.4</v>
      </c>
      <c r="I15" s="61">
        <v>5.0999999999999996</v>
      </c>
      <c r="J15" s="61">
        <v>4.8</v>
      </c>
      <c r="K15" s="61">
        <v>4.7</v>
      </c>
      <c r="L15" s="61">
        <v>4.5</v>
      </c>
      <c r="M15" s="408">
        <v>4.3</v>
      </c>
    </row>
    <row r="16" spans="1:16" x14ac:dyDescent="0.2">
      <c r="D16" s="419"/>
      <c r="E16" s="419"/>
      <c r="G16" s="401" t="s">
        <v>40</v>
      </c>
      <c r="H16" s="409">
        <v>5.5</v>
      </c>
      <c r="I16" s="61">
        <v>5.2</v>
      </c>
      <c r="J16" s="61">
        <v>5</v>
      </c>
      <c r="K16" s="61">
        <v>4.7</v>
      </c>
      <c r="L16" s="61">
        <v>4.5999999999999996</v>
      </c>
      <c r="M16" s="410">
        <v>4.5</v>
      </c>
    </row>
    <row r="17" spans="4:13" x14ac:dyDescent="0.2">
      <c r="D17" s="483"/>
      <c r="E17" s="483"/>
      <c r="F17" s="483"/>
      <c r="G17" s="401" t="s">
        <v>41</v>
      </c>
      <c r="H17" s="406">
        <v>5.6</v>
      </c>
      <c r="I17" s="61">
        <v>5.3</v>
      </c>
      <c r="J17" s="61">
        <v>5</v>
      </c>
      <c r="K17" s="61">
        <v>4.8</v>
      </c>
      <c r="L17" s="61">
        <v>4.5999999999999996</v>
      </c>
      <c r="M17" s="410">
        <v>4.5</v>
      </c>
    </row>
    <row r="18" spans="4:13" x14ac:dyDescent="0.2">
      <c r="D18" s="483"/>
      <c r="E18" s="483"/>
      <c r="F18" s="483"/>
      <c r="G18" s="401" t="s">
        <v>42</v>
      </c>
      <c r="H18" s="406">
        <v>5.7</v>
      </c>
      <c r="I18" s="61">
        <v>5.4</v>
      </c>
      <c r="J18" s="61">
        <v>5.0999999999999996</v>
      </c>
      <c r="K18" s="61">
        <v>4.9000000000000004</v>
      </c>
      <c r="L18" s="61">
        <v>4.7</v>
      </c>
      <c r="M18" s="410">
        <v>4.5</v>
      </c>
    </row>
    <row r="19" spans="4:13" x14ac:dyDescent="0.2">
      <c r="D19" s="483"/>
      <c r="E19" s="483"/>
      <c r="F19" s="483"/>
      <c r="G19" s="401" t="s">
        <v>43</v>
      </c>
      <c r="H19" s="406">
        <v>5.8</v>
      </c>
      <c r="I19" s="61">
        <v>5.5</v>
      </c>
      <c r="J19" s="61">
        <v>5.2</v>
      </c>
      <c r="K19" s="61">
        <v>5</v>
      </c>
      <c r="L19" s="61">
        <v>4.8</v>
      </c>
      <c r="M19" s="410">
        <v>4.5999999999999996</v>
      </c>
    </row>
    <row r="20" spans="4:13" x14ac:dyDescent="0.2">
      <c r="D20" s="483"/>
      <c r="E20" s="483"/>
      <c r="F20" s="483"/>
      <c r="G20" s="401" t="s">
        <v>44</v>
      </c>
      <c r="H20" s="406">
        <v>6</v>
      </c>
      <c r="I20" s="61">
        <v>5.5</v>
      </c>
      <c r="J20" s="61">
        <v>5.3</v>
      </c>
      <c r="K20" s="61">
        <v>5</v>
      </c>
      <c r="L20" s="61">
        <v>4.8</v>
      </c>
      <c r="M20" s="410">
        <v>4.5999999999999996</v>
      </c>
    </row>
    <row r="21" spans="4:13" x14ac:dyDescent="0.2">
      <c r="D21" s="483"/>
      <c r="E21" s="483"/>
      <c r="F21" s="483"/>
      <c r="G21" s="401" t="s">
        <v>45</v>
      </c>
      <c r="H21" s="406">
        <v>6.1</v>
      </c>
      <c r="I21" s="59">
        <v>5.7</v>
      </c>
      <c r="J21" s="61">
        <v>5.3</v>
      </c>
      <c r="K21" s="61">
        <v>5.0999999999999996</v>
      </c>
      <c r="L21" s="61">
        <v>4.9000000000000004</v>
      </c>
      <c r="M21" s="410">
        <v>4.7</v>
      </c>
    </row>
    <row r="22" spans="4:13" x14ac:dyDescent="0.2">
      <c r="D22" s="483"/>
      <c r="E22" s="483"/>
      <c r="F22" s="483"/>
      <c r="G22" s="401" t="s">
        <v>46</v>
      </c>
      <c r="H22" s="406">
        <v>6.2</v>
      </c>
      <c r="I22" s="59">
        <v>5.8</v>
      </c>
      <c r="J22" s="61">
        <v>5.4</v>
      </c>
      <c r="K22" s="61">
        <v>5.2</v>
      </c>
      <c r="L22" s="61">
        <v>5</v>
      </c>
      <c r="M22" s="410">
        <v>4.7</v>
      </c>
    </row>
    <row r="23" spans="4:13" x14ac:dyDescent="0.2">
      <c r="D23" s="483"/>
      <c r="E23" s="483"/>
      <c r="F23" s="483"/>
      <c r="G23" s="401" t="s">
        <v>47</v>
      </c>
      <c r="H23" s="406">
        <v>6.3</v>
      </c>
      <c r="I23" s="59">
        <v>5.9</v>
      </c>
      <c r="J23" s="59">
        <v>5.6</v>
      </c>
      <c r="K23" s="61">
        <v>5.3</v>
      </c>
      <c r="L23" s="61">
        <v>5</v>
      </c>
      <c r="M23" s="410">
        <v>4.8</v>
      </c>
    </row>
    <row r="24" spans="4:13" x14ac:dyDescent="0.2">
      <c r="D24" s="483"/>
      <c r="E24" s="483"/>
      <c r="F24" s="483"/>
      <c r="G24" s="401" t="s">
        <v>48</v>
      </c>
      <c r="H24" s="406">
        <v>6.5</v>
      </c>
      <c r="I24" s="59">
        <v>6</v>
      </c>
      <c r="J24" s="59">
        <v>5.7</v>
      </c>
      <c r="K24" s="61">
        <v>5.4</v>
      </c>
      <c r="L24" s="61">
        <v>5.0999999999999996</v>
      </c>
      <c r="M24" s="410">
        <v>4.8</v>
      </c>
    </row>
    <row r="25" spans="4:13" x14ac:dyDescent="0.2">
      <c r="D25" s="483"/>
      <c r="E25" s="483"/>
      <c r="F25" s="483"/>
      <c r="G25" s="401" t="s">
        <v>49</v>
      </c>
      <c r="H25" s="411">
        <v>6.7</v>
      </c>
      <c r="I25" s="59">
        <v>6.2</v>
      </c>
      <c r="J25" s="59">
        <v>5.8</v>
      </c>
      <c r="K25" s="61">
        <v>5.4</v>
      </c>
      <c r="L25" s="61">
        <v>5.2</v>
      </c>
      <c r="M25" s="410">
        <v>4.9000000000000004</v>
      </c>
    </row>
    <row r="26" spans="4:13" x14ac:dyDescent="0.2">
      <c r="D26" s="483"/>
      <c r="E26" s="483"/>
      <c r="F26" s="483"/>
      <c r="G26" s="401" t="s">
        <v>50</v>
      </c>
      <c r="H26" s="411">
        <v>6.8</v>
      </c>
      <c r="I26" s="59">
        <v>6.3</v>
      </c>
      <c r="J26" s="59">
        <v>5.9</v>
      </c>
      <c r="K26" s="61">
        <v>5.5</v>
      </c>
      <c r="L26" s="61">
        <v>5.3</v>
      </c>
      <c r="M26" s="410">
        <v>5</v>
      </c>
    </row>
    <row r="27" spans="4:13" x14ac:dyDescent="0.2">
      <c r="D27" s="483"/>
      <c r="E27" s="483"/>
      <c r="F27" s="483"/>
      <c r="G27" s="401" t="s">
        <v>51</v>
      </c>
      <c r="H27" s="411">
        <v>7</v>
      </c>
      <c r="I27" s="59">
        <v>6.5</v>
      </c>
      <c r="J27" s="59">
        <v>6</v>
      </c>
      <c r="K27" s="59">
        <v>5.7</v>
      </c>
      <c r="L27" s="61">
        <v>5.4</v>
      </c>
      <c r="M27" s="410">
        <v>5.0999999999999996</v>
      </c>
    </row>
    <row r="28" spans="4:13" x14ac:dyDescent="0.2">
      <c r="D28" s="483"/>
      <c r="E28" s="483"/>
      <c r="F28" s="483"/>
      <c r="G28" s="401" t="s">
        <v>52</v>
      </c>
      <c r="H28" s="411">
        <v>7.3</v>
      </c>
      <c r="I28" s="60">
        <v>6.7</v>
      </c>
      <c r="J28" s="59">
        <v>6.2</v>
      </c>
      <c r="K28" s="59">
        <v>5.8</v>
      </c>
      <c r="L28" s="61">
        <v>5.5</v>
      </c>
      <c r="M28" s="410">
        <v>5.2</v>
      </c>
    </row>
    <row r="29" spans="4:13" x14ac:dyDescent="0.2">
      <c r="D29" s="483"/>
      <c r="E29" s="483"/>
      <c r="F29" s="483"/>
      <c r="G29" s="401" t="s">
        <v>53</v>
      </c>
      <c r="H29" s="411">
        <v>7.6</v>
      </c>
      <c r="I29" s="60">
        <v>6.9</v>
      </c>
      <c r="J29" s="59">
        <v>6.4</v>
      </c>
      <c r="K29" s="59">
        <v>6</v>
      </c>
      <c r="L29" s="59">
        <v>5.6</v>
      </c>
      <c r="M29" s="410">
        <v>5.3</v>
      </c>
    </row>
    <row r="30" spans="4:13" x14ac:dyDescent="0.2">
      <c r="D30" s="483"/>
      <c r="E30" s="483"/>
      <c r="F30" s="483"/>
      <c r="G30" s="401" t="s">
        <v>54</v>
      </c>
      <c r="H30" s="411">
        <v>8</v>
      </c>
      <c r="I30" s="60">
        <v>7.2</v>
      </c>
      <c r="J30" s="60">
        <v>6.6</v>
      </c>
      <c r="K30" s="59">
        <v>6.2</v>
      </c>
      <c r="L30" s="59">
        <v>5.9</v>
      </c>
      <c r="M30" s="410">
        <v>5.4</v>
      </c>
    </row>
    <row r="31" spans="4:13" x14ac:dyDescent="0.2">
      <c r="D31" s="483"/>
      <c r="E31" s="483"/>
      <c r="F31" s="483"/>
      <c r="G31" s="401" t="s">
        <v>55</v>
      </c>
      <c r="H31" s="411">
        <v>8.5</v>
      </c>
      <c r="I31" s="60">
        <v>7.6</v>
      </c>
      <c r="J31" s="60">
        <v>7</v>
      </c>
      <c r="K31" s="59">
        <v>6.5</v>
      </c>
      <c r="L31" s="59">
        <v>6.1</v>
      </c>
      <c r="M31" s="408">
        <v>5.6</v>
      </c>
    </row>
    <row r="32" spans="4:13" ht="13.1" thickBot="1" x14ac:dyDescent="0.25">
      <c r="D32" s="483"/>
      <c r="E32" s="483"/>
      <c r="F32" s="483"/>
      <c r="G32" s="402" t="s">
        <v>56</v>
      </c>
      <c r="H32" s="412">
        <v>9.5</v>
      </c>
      <c r="I32" s="413">
        <v>8.3000000000000007</v>
      </c>
      <c r="J32" s="413">
        <v>7.5</v>
      </c>
      <c r="K32" s="413">
        <v>7</v>
      </c>
      <c r="L32" s="414">
        <v>6.5</v>
      </c>
      <c r="M32" s="415">
        <v>5.9</v>
      </c>
    </row>
    <row r="33" spans="4:6" x14ac:dyDescent="0.2">
      <c r="D33" s="483"/>
      <c r="E33" s="483"/>
      <c r="F33" s="483"/>
    </row>
  </sheetData>
  <sheetProtection algorithmName="SHA-512" hashValue="WqpsVSL5g8LH5LA72q4EpsEERKW72OQRDcYAkvyiWGRE3WgVmKL6drc8h3ZNlHwe8K4SNlaDyt40fV541eqM3w==" saltValue="fv9J8hItjXZ4G+ajxLiqNg==" spinCount="100000" sheet="1" objects="1" scenarios="1" selectLockedCells="1"/>
  <mergeCells count="4">
    <mergeCell ref="G1:M1"/>
    <mergeCell ref="H2:M2"/>
    <mergeCell ref="D14:E16"/>
    <mergeCell ref="G2:G3"/>
  </mergeCells>
  <hyperlinks>
    <hyperlink ref="D14:E16" location="RESULTADOS!K19" tooltip="VOLVER A RESULTADOS" display="VOLVER A RESULTADOS E INTRODUCIR EL FACTOR" xr:uid="{848743DB-73B9-4D0A-BE91-ACB3964DD339}"/>
  </hyperlinks>
  <printOptions horizontalCentered="1" verticalCentered="1"/>
  <pageMargins left="0" right="0" top="0" bottom="0" header="0" footer="0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39BF-B35D-4D7D-A6DA-8331FDC040CE}">
  <sheetPr>
    <pageSetUpPr fitToPage="1"/>
  </sheetPr>
  <dimension ref="A1:AB44"/>
  <sheetViews>
    <sheetView showGridLines="0" showRowColHeaders="0" zoomScale="70" zoomScaleNormal="70" workbookViewId="0">
      <selection activeCell="B11" sqref="B11:B17"/>
    </sheetView>
  </sheetViews>
  <sheetFormatPr baseColWidth="10" defaultColWidth="0" defaultRowHeight="14.4" customHeight="1" zeroHeight="1" outlineLevelCol="1" x14ac:dyDescent="0.25"/>
  <cols>
    <col min="1" max="1" width="5.21875" style="431" customWidth="1"/>
    <col min="2" max="2" width="5.88671875" style="431" customWidth="1"/>
    <col min="3" max="3" width="1.6640625" style="431" customWidth="1"/>
    <col min="4" max="4" width="30.5546875" style="431" bestFit="1" customWidth="1"/>
    <col min="5" max="5" width="6.77734375" style="431" bestFit="1" customWidth="1"/>
    <col min="6" max="6" width="8.33203125" style="431" bestFit="1" customWidth="1"/>
    <col min="7" max="7" width="8.77734375" style="431" bestFit="1" customWidth="1"/>
    <col min="8" max="8" width="7" style="431" hidden="1" customWidth="1" outlineLevel="1"/>
    <col min="9" max="9" width="4.109375" style="431" hidden="1" customWidth="1" outlineLevel="1"/>
    <col min="10" max="10" width="4.109375" style="479" customWidth="1" collapsed="1"/>
    <col min="11" max="11" width="28.33203125" style="431" bestFit="1" customWidth="1"/>
    <col min="12" max="12" width="13.109375" style="431" bestFit="1" customWidth="1"/>
    <col min="13" max="13" width="8.33203125" style="431" customWidth="1"/>
    <col min="14" max="14" width="8.77734375" style="431" bestFit="1" customWidth="1"/>
    <col min="15" max="15" width="3.109375" style="431" hidden="1" customWidth="1" outlineLevel="1"/>
    <col min="16" max="16" width="4.6640625" style="431" hidden="1" customWidth="1" outlineLevel="1"/>
    <col min="17" max="17" width="4.21875" style="479" customWidth="1" collapsed="1"/>
    <col min="18" max="18" width="20.33203125" style="431" bestFit="1" customWidth="1"/>
    <col min="19" max="19" width="12.44140625" style="431" hidden="1" customWidth="1" outlineLevel="1"/>
    <col min="20" max="20" width="7.21875" style="431" hidden="1" customWidth="1" outlineLevel="1"/>
    <col min="21" max="21" width="5.77734375" style="431" hidden="1" customWidth="1" outlineLevel="1"/>
    <col min="22" max="22" width="10.6640625" style="431" customWidth="1" collapsed="1"/>
    <col min="23" max="23" width="17.5546875" style="431" hidden="1" customWidth="1" outlineLevel="1"/>
    <col min="24" max="24" width="11.21875" style="431" customWidth="1" collapsed="1"/>
    <col min="25" max="25" width="11.21875" style="431" customWidth="1"/>
    <col min="26" max="28" width="11.5546875" style="431" customWidth="1"/>
    <col min="29" max="16384" width="11.5546875" style="431" hidden="1"/>
  </cols>
  <sheetData>
    <row r="1" spans="2:28" s="3" customFormat="1" ht="15.05" customHeight="1" x14ac:dyDescent="0.3">
      <c r="C1" s="169"/>
      <c r="G1" s="170"/>
      <c r="H1" s="4"/>
      <c r="I1" s="171"/>
      <c r="J1" s="171"/>
      <c r="K1" s="480" t="s">
        <v>196</v>
      </c>
      <c r="L1" s="480"/>
      <c r="M1" s="480"/>
      <c r="N1" s="480"/>
      <c r="O1" s="4"/>
      <c r="P1" s="171"/>
      <c r="Q1" s="171"/>
      <c r="R1" s="432"/>
      <c r="S1" s="433"/>
      <c r="T1" s="433"/>
      <c r="U1" s="433"/>
      <c r="V1" s="433"/>
      <c r="W1" s="433"/>
      <c r="X1" s="432"/>
      <c r="Y1" s="431"/>
      <c r="Z1" s="431"/>
      <c r="AA1" s="431"/>
      <c r="AB1" s="431"/>
    </row>
    <row r="2" spans="2:28" s="3" customFormat="1" ht="15.05" customHeight="1" x14ac:dyDescent="0.3">
      <c r="B2" s="167" t="s">
        <v>64</v>
      </c>
      <c r="C2" s="169"/>
      <c r="D2" s="54">
        <v>2145879</v>
      </c>
      <c r="G2" s="170"/>
      <c r="H2" s="4"/>
      <c r="I2" s="171"/>
      <c r="J2" s="171"/>
      <c r="K2" s="480"/>
      <c r="L2" s="480"/>
      <c r="M2" s="480"/>
      <c r="N2" s="480"/>
      <c r="O2" s="4"/>
      <c r="P2" s="171"/>
      <c r="Q2" s="171"/>
      <c r="R2" s="432"/>
      <c r="S2" s="433"/>
      <c r="T2" s="433"/>
      <c r="U2" s="433"/>
      <c r="V2" s="433"/>
      <c r="W2" s="433"/>
      <c r="X2" s="432"/>
      <c r="Y2" s="431"/>
      <c r="Z2" s="431"/>
      <c r="AA2" s="431"/>
      <c r="AB2" s="431"/>
    </row>
    <row r="3" spans="2:28" s="3" customFormat="1" ht="15.05" customHeight="1" thickBot="1" x14ac:dyDescent="0.35">
      <c r="C3" s="169"/>
      <c r="D3" s="169"/>
      <c r="E3" s="169"/>
      <c r="F3" s="169"/>
      <c r="G3" s="169"/>
      <c r="H3" s="171"/>
      <c r="I3" s="172"/>
      <c r="J3" s="171"/>
      <c r="K3" s="169"/>
      <c r="L3" s="169"/>
      <c r="M3" s="169"/>
      <c r="N3" s="173"/>
      <c r="O3" s="171"/>
      <c r="P3" s="172"/>
      <c r="Q3" s="17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</row>
    <row r="4" spans="2:28" s="3" customFormat="1" ht="15.05" customHeight="1" thickBot="1" x14ac:dyDescent="0.3">
      <c r="B4" s="361" t="s">
        <v>186</v>
      </c>
      <c r="C4" s="75"/>
      <c r="D4" s="329" t="s">
        <v>127</v>
      </c>
      <c r="E4" s="330"/>
      <c r="F4" s="330"/>
      <c r="G4" s="331"/>
      <c r="H4" s="77"/>
      <c r="I4" s="86"/>
      <c r="J4" s="85"/>
      <c r="K4" s="329" t="s">
        <v>17</v>
      </c>
      <c r="L4" s="330"/>
      <c r="M4" s="330"/>
      <c r="N4" s="331"/>
      <c r="O4" s="87"/>
      <c r="P4" s="68"/>
      <c r="Q4" s="87"/>
      <c r="R4" s="434" t="s">
        <v>187</v>
      </c>
      <c r="S4" s="435"/>
      <c r="T4" s="435"/>
      <c r="U4" s="435"/>
      <c r="V4" s="435"/>
      <c r="W4" s="435"/>
      <c r="X4" s="436"/>
      <c r="Y4" s="431"/>
      <c r="Z4" s="431"/>
      <c r="AA4" s="431"/>
      <c r="AB4" s="431"/>
    </row>
    <row r="5" spans="2:28" s="3" customFormat="1" ht="15.05" customHeight="1" x14ac:dyDescent="0.25">
      <c r="B5" s="361"/>
      <c r="C5" s="75"/>
      <c r="D5" s="45" t="s">
        <v>18</v>
      </c>
      <c r="E5" s="46" t="s">
        <v>6</v>
      </c>
      <c r="F5" s="46" t="s">
        <v>7</v>
      </c>
      <c r="G5" s="47" t="s">
        <v>90</v>
      </c>
      <c r="H5" s="77"/>
      <c r="I5" s="86"/>
      <c r="J5" s="85"/>
      <c r="K5" s="45" t="s">
        <v>18</v>
      </c>
      <c r="L5" s="46" t="s">
        <v>6</v>
      </c>
      <c r="M5" s="46" t="s">
        <v>7</v>
      </c>
      <c r="N5" s="47" t="s">
        <v>90</v>
      </c>
      <c r="O5" s="85"/>
      <c r="P5" s="86"/>
      <c r="Q5" s="85"/>
      <c r="R5" s="437" t="s">
        <v>124</v>
      </c>
      <c r="S5" s="438" t="s">
        <v>173</v>
      </c>
      <c r="T5" s="439" t="s">
        <v>125</v>
      </c>
      <c r="U5" s="440"/>
      <c r="V5" s="441" t="s">
        <v>171</v>
      </c>
      <c r="W5" s="442" t="s">
        <v>169</v>
      </c>
      <c r="X5" s="443" t="s">
        <v>171</v>
      </c>
      <c r="Y5" s="431"/>
      <c r="Z5" s="431"/>
      <c r="AA5" s="431"/>
      <c r="AB5" s="431"/>
    </row>
    <row r="6" spans="2:28" s="3" customFormat="1" ht="15.05" customHeight="1" x14ac:dyDescent="0.25">
      <c r="B6" s="361"/>
      <c r="C6" s="75"/>
      <c r="D6" s="175" t="s">
        <v>78</v>
      </c>
      <c r="E6" s="170" t="s">
        <v>0</v>
      </c>
      <c r="F6" s="176">
        <v>0</v>
      </c>
      <c r="G6" s="177" t="s">
        <v>91</v>
      </c>
      <c r="H6" s="77"/>
      <c r="I6" s="86"/>
      <c r="J6" s="85"/>
      <c r="K6" s="175" t="s">
        <v>19</v>
      </c>
      <c r="L6" s="178" t="s">
        <v>10</v>
      </c>
      <c r="M6" s="179">
        <v>0</v>
      </c>
      <c r="N6" s="180" t="s">
        <v>92</v>
      </c>
      <c r="O6" s="67">
        <f>IF(M6&gt;200,1,0)</f>
        <v>0</v>
      </c>
      <c r="P6" s="70">
        <v>1</v>
      </c>
      <c r="Q6" s="181"/>
      <c r="R6" s="444"/>
      <c r="S6" s="445" t="s">
        <v>174</v>
      </c>
      <c r="T6" s="446"/>
      <c r="U6" s="447"/>
      <c r="V6" s="448"/>
      <c r="W6" s="449" t="s">
        <v>170</v>
      </c>
      <c r="X6" s="450"/>
      <c r="Y6" s="431"/>
      <c r="Z6" s="431"/>
      <c r="AA6" s="431"/>
      <c r="AB6" s="431"/>
    </row>
    <row r="7" spans="2:28" s="3" customFormat="1" ht="15.05" customHeight="1" thickBot="1" x14ac:dyDescent="0.3">
      <c r="B7" s="361"/>
      <c r="C7" s="75"/>
      <c r="D7" s="175" t="s">
        <v>79</v>
      </c>
      <c r="E7" s="170" t="s">
        <v>1</v>
      </c>
      <c r="F7" s="179">
        <v>0</v>
      </c>
      <c r="G7" s="177" t="s">
        <v>91</v>
      </c>
      <c r="H7" s="77"/>
      <c r="I7" s="86"/>
      <c r="J7" s="85"/>
      <c r="K7" s="183" t="s">
        <v>151</v>
      </c>
      <c r="L7" s="178" t="s">
        <v>10</v>
      </c>
      <c r="M7" s="184">
        <v>0</v>
      </c>
      <c r="N7" s="185" t="s">
        <v>132</v>
      </c>
      <c r="O7" s="67">
        <f>IF(M7&lt;=40,1,0)</f>
        <v>1</v>
      </c>
      <c r="P7" s="70">
        <v>1</v>
      </c>
      <c r="Q7" s="181"/>
      <c r="R7" s="451"/>
      <c r="S7" s="452" t="s">
        <v>175</v>
      </c>
      <c r="T7" s="453" t="s">
        <v>126</v>
      </c>
      <c r="U7" s="454" t="s">
        <v>9</v>
      </c>
      <c r="V7" s="455" t="s">
        <v>176</v>
      </c>
      <c r="W7" s="456" t="s">
        <v>172</v>
      </c>
      <c r="X7" s="457" t="s">
        <v>172</v>
      </c>
      <c r="Y7" s="431"/>
      <c r="Z7" s="431"/>
      <c r="AA7" s="431"/>
      <c r="AB7" s="431"/>
    </row>
    <row r="8" spans="2:28" s="3" customFormat="1" ht="15.05" customHeight="1" x14ac:dyDescent="0.25">
      <c r="B8" s="361"/>
      <c r="C8" s="75"/>
      <c r="D8" s="189" t="s">
        <v>93</v>
      </c>
      <c r="E8" s="190" t="s">
        <v>1</v>
      </c>
      <c r="F8" s="191">
        <f>+((F9*100)-100)-(((F9*100)-100)-52)*0.2</f>
        <v>-69.599999999999994</v>
      </c>
      <c r="G8" s="177" t="s">
        <v>91</v>
      </c>
      <c r="H8" s="77"/>
      <c r="I8" s="86"/>
      <c r="J8" s="85"/>
      <c r="K8" s="175" t="s">
        <v>148</v>
      </c>
      <c r="L8" s="178" t="s">
        <v>10</v>
      </c>
      <c r="M8" s="179">
        <f>+M6-M7</f>
        <v>0</v>
      </c>
      <c r="N8" s="185" t="s">
        <v>155</v>
      </c>
      <c r="O8" s="67">
        <f>IF(M8&gt;=130,1,0)</f>
        <v>0</v>
      </c>
      <c r="P8" s="70">
        <v>1</v>
      </c>
      <c r="Q8" s="181"/>
      <c r="R8" s="458" t="s">
        <v>127</v>
      </c>
      <c r="S8" s="459">
        <f>+I14</f>
        <v>5</v>
      </c>
      <c r="T8" s="460" t="e">
        <f>+H14</f>
        <v>#DIV/0!</v>
      </c>
      <c r="U8" s="193" t="e">
        <f t="shared" ref="U8:U14" si="0">+T8/S8</f>
        <v>#DIV/0!</v>
      </c>
      <c r="V8" s="194" t="e">
        <f t="shared" ref="V8:V14" si="1">+T8*W8/$S$15</f>
        <v>#DIV/0!</v>
      </c>
      <c r="W8" s="90">
        <v>0.04</v>
      </c>
      <c r="X8" s="195" t="e">
        <f>+T8*W8*1.3/100</f>
        <v>#DIV/0!</v>
      </c>
      <c r="Y8" s="431"/>
      <c r="Z8" s="431"/>
      <c r="AA8" s="431"/>
      <c r="AB8" s="431"/>
    </row>
    <row r="9" spans="2:28" s="3" customFormat="1" ht="15.05" customHeight="1" x14ac:dyDescent="0.25">
      <c r="B9" s="361"/>
      <c r="C9" s="75"/>
      <c r="D9" s="175" t="s">
        <v>177</v>
      </c>
      <c r="E9" s="170" t="s">
        <v>2</v>
      </c>
      <c r="F9" s="196">
        <v>0</v>
      </c>
      <c r="G9" s="177" t="s">
        <v>91</v>
      </c>
      <c r="H9" s="77"/>
      <c r="I9" s="86"/>
      <c r="J9" s="85"/>
      <c r="K9" s="197" t="s">
        <v>152</v>
      </c>
      <c r="L9" s="198" t="s">
        <v>10</v>
      </c>
      <c r="M9" s="179">
        <f>+M6-M7-M10</f>
        <v>0</v>
      </c>
      <c r="N9" s="185" t="s">
        <v>156</v>
      </c>
      <c r="O9" s="67">
        <f>IF(M9&gt;=116,1,0)</f>
        <v>0</v>
      </c>
      <c r="P9" s="70">
        <v>1</v>
      </c>
      <c r="Q9" s="181"/>
      <c r="R9" s="461" t="s">
        <v>129</v>
      </c>
      <c r="S9" s="462">
        <f>+I21</f>
        <v>4</v>
      </c>
      <c r="T9" s="463">
        <f>+H21</f>
        <v>0</v>
      </c>
      <c r="U9" s="202">
        <f t="shared" si="0"/>
        <v>0</v>
      </c>
      <c r="V9" s="194">
        <f t="shared" si="1"/>
        <v>0</v>
      </c>
      <c r="W9" s="90">
        <v>0.12</v>
      </c>
      <c r="X9" s="195">
        <f>+T9*W9*1.7/100</f>
        <v>0</v>
      </c>
      <c r="Y9" s="431"/>
      <c r="Z9" s="431"/>
      <c r="AA9" s="431"/>
      <c r="AB9" s="431"/>
    </row>
    <row r="10" spans="2:28" s="3" customFormat="1" ht="15.05" customHeight="1" x14ac:dyDescent="0.25">
      <c r="B10" s="361"/>
      <c r="C10" s="75"/>
      <c r="D10" s="189" t="s">
        <v>96</v>
      </c>
      <c r="E10" s="190" t="s">
        <v>97</v>
      </c>
      <c r="F10" s="203" t="e">
        <f>+F7/(F9^2)</f>
        <v>#DIV/0!</v>
      </c>
      <c r="G10" s="177" t="s">
        <v>138</v>
      </c>
      <c r="H10" s="67" t="s">
        <v>185</v>
      </c>
      <c r="I10" s="88" t="s">
        <v>185</v>
      </c>
      <c r="J10" s="204"/>
      <c r="K10" s="183" t="s">
        <v>182</v>
      </c>
      <c r="L10" s="178" t="s">
        <v>10</v>
      </c>
      <c r="M10" s="179">
        <v>0</v>
      </c>
      <c r="N10" s="185" t="s">
        <v>95</v>
      </c>
      <c r="O10" s="67">
        <f>+IF(M10&gt;=30,0.5,0)</f>
        <v>0</v>
      </c>
      <c r="P10" s="70">
        <v>0.5</v>
      </c>
      <c r="Q10" s="181"/>
      <c r="R10" s="461" t="s">
        <v>128</v>
      </c>
      <c r="S10" s="462">
        <f>+I29</f>
        <v>9</v>
      </c>
      <c r="T10" s="463" t="e">
        <f>+H29</f>
        <v>#NUM!</v>
      </c>
      <c r="U10" s="193" t="e">
        <f t="shared" si="0"/>
        <v>#NUM!</v>
      </c>
      <c r="V10" s="194" t="e">
        <f t="shared" si="1"/>
        <v>#NUM!</v>
      </c>
      <c r="W10" s="90">
        <v>0.08</v>
      </c>
      <c r="X10" s="195" t="e">
        <f>+T10*W10*1.25/100</f>
        <v>#NUM!</v>
      </c>
      <c r="Y10" s="431"/>
      <c r="Z10" s="431"/>
      <c r="AA10" s="431"/>
      <c r="AB10" s="431"/>
    </row>
    <row r="11" spans="2:28" s="3" customFormat="1" ht="15.05" customHeight="1" x14ac:dyDescent="0.25">
      <c r="B11" s="337" t="s">
        <v>181</v>
      </c>
      <c r="C11" s="69"/>
      <c r="D11" s="175" t="s">
        <v>81</v>
      </c>
      <c r="E11" s="170" t="s">
        <v>3</v>
      </c>
      <c r="F11" s="179">
        <v>0</v>
      </c>
      <c r="G11" s="185" t="s">
        <v>139</v>
      </c>
      <c r="H11" s="67">
        <f>IF(F11&gt;102,2,IF(F11&gt;90,1,0))</f>
        <v>0</v>
      </c>
      <c r="I11" s="70">
        <v>2</v>
      </c>
      <c r="J11" s="181"/>
      <c r="K11" s="175" t="s">
        <v>150</v>
      </c>
      <c r="L11" s="178" t="s">
        <v>10</v>
      </c>
      <c r="M11" s="184">
        <v>0</v>
      </c>
      <c r="N11" s="180" t="s">
        <v>94</v>
      </c>
      <c r="O11" s="67">
        <f>IF(M11&gt;=150,1,0)</f>
        <v>0</v>
      </c>
      <c r="P11" s="70">
        <v>1</v>
      </c>
      <c r="Q11" s="181"/>
      <c r="R11" s="461" t="s">
        <v>131</v>
      </c>
      <c r="S11" s="462">
        <f>+I37</f>
        <v>9</v>
      </c>
      <c r="T11" s="463">
        <f>+H37</f>
        <v>1</v>
      </c>
      <c r="U11" s="202">
        <f t="shared" si="0"/>
        <v>0.1111111111111111</v>
      </c>
      <c r="V11" s="194">
        <f t="shared" si="1"/>
        <v>7.9207920792079213E-4</v>
      </c>
      <c r="W11" s="90">
        <v>0.04</v>
      </c>
      <c r="X11" s="195">
        <f>IF(F36&gt;2,(T11*W11*1.3/100),(T11*W11/100))</f>
        <v>4.0000000000000002E-4</v>
      </c>
      <c r="Y11" s="431"/>
      <c r="Z11" s="431"/>
      <c r="AA11" s="431"/>
      <c r="AB11" s="431"/>
    </row>
    <row r="12" spans="2:28" s="3" customFormat="1" ht="15.05" customHeight="1" x14ac:dyDescent="0.25">
      <c r="B12" s="337"/>
      <c r="C12" s="69"/>
      <c r="D12" s="189" t="s">
        <v>146</v>
      </c>
      <c r="E12" s="190" t="s">
        <v>91</v>
      </c>
      <c r="F12" s="196" t="e">
        <f>+F11/(F9*100)</f>
        <v>#DIV/0!</v>
      </c>
      <c r="G12" s="177" t="s">
        <v>99</v>
      </c>
      <c r="H12" s="71" t="e">
        <f>IF(F12&gt;0.63,2.5,IF(F12&gt;0.58,2,IF(F12&gt;0.53,1,IF(F12&gt;0.35,0,IF(F12&lt;0.34,1)))))</f>
        <v>#DIV/0!</v>
      </c>
      <c r="I12" s="70">
        <v>2.5</v>
      </c>
      <c r="J12" s="181"/>
      <c r="K12" s="175" t="s">
        <v>21</v>
      </c>
      <c r="L12" s="178" t="s">
        <v>10</v>
      </c>
      <c r="M12" s="179">
        <v>0</v>
      </c>
      <c r="N12" s="205" t="s">
        <v>157</v>
      </c>
      <c r="O12" s="67">
        <f>IF(M12&gt;144,1,0)</f>
        <v>0</v>
      </c>
      <c r="P12" s="70">
        <v>1</v>
      </c>
      <c r="Q12" s="181"/>
      <c r="R12" s="461" t="s">
        <v>130</v>
      </c>
      <c r="S12" s="462">
        <f>+P19</f>
        <v>14.5</v>
      </c>
      <c r="T12" s="463" t="e">
        <f>+O19</f>
        <v>#DIV/0!</v>
      </c>
      <c r="U12" s="202" t="e">
        <f t="shared" si="0"/>
        <v>#DIV/0!</v>
      </c>
      <c r="V12" s="194" t="e">
        <f t="shared" si="1"/>
        <v>#DIV/0!</v>
      </c>
      <c r="W12" s="90">
        <v>0.3</v>
      </c>
      <c r="X12" s="195" t="e">
        <f>IF(M9&gt;130,(T12*W12*2.6/100),(T12*W12*1.3/100))</f>
        <v>#DIV/0!</v>
      </c>
      <c r="Y12" s="431"/>
      <c r="Z12" s="431"/>
      <c r="AA12" s="431"/>
      <c r="AB12" s="431"/>
    </row>
    <row r="13" spans="2:28" s="3" customFormat="1" ht="15.05" customHeight="1" thickBot="1" x14ac:dyDescent="0.3">
      <c r="B13" s="337"/>
      <c r="C13" s="69"/>
      <c r="D13" s="206" t="s">
        <v>82</v>
      </c>
      <c r="E13" s="207" t="s">
        <v>4</v>
      </c>
      <c r="F13" s="208">
        <v>0</v>
      </c>
      <c r="G13" s="209" t="s">
        <v>101</v>
      </c>
      <c r="H13" s="67">
        <f>IF(F13&gt;21,0.5,0)</f>
        <v>0</v>
      </c>
      <c r="I13" s="70">
        <v>0.5</v>
      </c>
      <c r="J13" s="181"/>
      <c r="K13" s="175" t="s">
        <v>22</v>
      </c>
      <c r="L13" s="178" t="s">
        <v>10</v>
      </c>
      <c r="M13" s="179">
        <v>0</v>
      </c>
      <c r="N13" s="205" t="s">
        <v>153</v>
      </c>
      <c r="O13" s="67">
        <f>IF(M13&lt;95,1,0)</f>
        <v>1</v>
      </c>
      <c r="P13" s="70">
        <v>1</v>
      </c>
      <c r="Q13" s="181"/>
      <c r="R13" s="461" t="s">
        <v>13</v>
      </c>
      <c r="S13" s="462">
        <f>+P24</f>
        <v>3</v>
      </c>
      <c r="T13" s="463">
        <f>+O24</f>
        <v>0</v>
      </c>
      <c r="U13" s="202">
        <f t="shared" si="0"/>
        <v>0</v>
      </c>
      <c r="V13" s="194">
        <f t="shared" si="1"/>
        <v>0</v>
      </c>
      <c r="W13" s="90">
        <v>0.32</v>
      </c>
      <c r="X13" s="195">
        <f>IF(N22&gt;130,(T13*W13*2.4/100),IF(N22&gt;120,(T13*W13*1.2/100),T13*W13/100))</f>
        <v>0</v>
      </c>
      <c r="Y13" s="431"/>
      <c r="Z13" s="431"/>
      <c r="AA13" s="431"/>
      <c r="AB13" s="431"/>
    </row>
    <row r="14" spans="2:28" s="3" customFormat="1" ht="15.05" customHeight="1" thickBot="1" x14ac:dyDescent="0.3">
      <c r="B14" s="337"/>
      <c r="C14" s="69"/>
      <c r="D14" s="27"/>
      <c r="E14" s="27"/>
      <c r="F14" s="27"/>
      <c r="G14" s="27"/>
      <c r="H14" s="72" t="e">
        <f>SUM(H6:H13)</f>
        <v>#DIV/0!</v>
      </c>
      <c r="I14" s="73">
        <f>SUM(I10:I13)</f>
        <v>5</v>
      </c>
      <c r="J14" s="166"/>
      <c r="K14" s="210" t="s">
        <v>166</v>
      </c>
      <c r="L14" s="211" t="s">
        <v>10</v>
      </c>
      <c r="M14" s="212">
        <v>0</v>
      </c>
      <c r="N14" s="213" t="s">
        <v>95</v>
      </c>
      <c r="O14" s="67">
        <f>IF(M14&gt;=30,2,0)</f>
        <v>0</v>
      </c>
      <c r="P14" s="70">
        <v>2</v>
      </c>
      <c r="Q14" s="181"/>
      <c r="R14" s="464" t="s">
        <v>61</v>
      </c>
      <c r="S14" s="465">
        <f>+P36</f>
        <v>6</v>
      </c>
      <c r="T14" s="466" t="e">
        <f>+O36</f>
        <v>#DIV/0!</v>
      </c>
      <c r="U14" s="214" t="e">
        <f t="shared" si="0"/>
        <v>#DIV/0!</v>
      </c>
      <c r="V14" s="215" t="e">
        <f t="shared" si="1"/>
        <v>#DIV/0!</v>
      </c>
      <c r="W14" s="216">
        <v>0.1</v>
      </c>
      <c r="X14" s="217" t="e">
        <f>IF(M31&lt;60,T14*W14*1.4/100,T14*W14/100)</f>
        <v>#DIV/0!</v>
      </c>
      <c r="Y14" s="431"/>
      <c r="Z14" s="431"/>
      <c r="AA14" s="431"/>
      <c r="AB14" s="431"/>
    </row>
    <row r="15" spans="2:28" s="3" customFormat="1" ht="15.05" customHeight="1" thickBot="1" x14ac:dyDescent="0.3">
      <c r="B15" s="337"/>
      <c r="C15" s="69"/>
      <c r="D15" s="329" t="s">
        <v>5</v>
      </c>
      <c r="E15" s="330"/>
      <c r="F15" s="330"/>
      <c r="G15" s="331"/>
      <c r="H15" s="77"/>
      <c r="I15" s="86"/>
      <c r="J15" s="85"/>
      <c r="K15" s="197" t="s">
        <v>147</v>
      </c>
      <c r="L15" s="218"/>
      <c r="M15" s="219" t="e">
        <f>+M6/M7</f>
        <v>#DIV/0!</v>
      </c>
      <c r="N15" s="185" t="s">
        <v>100</v>
      </c>
      <c r="O15" s="67" t="e">
        <f>IF(M15&gt;=4.5,1,0)</f>
        <v>#DIV/0!</v>
      </c>
      <c r="P15" s="74">
        <v>1</v>
      </c>
      <c r="Q15" s="220"/>
      <c r="R15" s="431"/>
      <c r="S15" s="467">
        <f>SUM(S8:S14)</f>
        <v>50.5</v>
      </c>
      <c r="T15" s="431"/>
      <c r="U15" s="431"/>
      <c r="V15" s="63" t="e">
        <f>SUM(V8:V14)</f>
        <v>#DIV/0!</v>
      </c>
      <c r="W15" s="468">
        <f>SUM(W8:W14)</f>
        <v>0.99999999999999989</v>
      </c>
      <c r="X15" s="63" t="e">
        <f>SUM(X8:X14)</f>
        <v>#DIV/0!</v>
      </c>
      <c r="Y15" s="431"/>
      <c r="Z15" s="431"/>
      <c r="AA15" s="431"/>
      <c r="AB15" s="431"/>
    </row>
    <row r="16" spans="2:28" s="3" customFormat="1" ht="15.05" customHeight="1" thickBot="1" x14ac:dyDescent="0.3">
      <c r="B16" s="337"/>
      <c r="C16" s="69"/>
      <c r="D16" s="45" t="s">
        <v>18</v>
      </c>
      <c r="E16" s="46" t="s">
        <v>6</v>
      </c>
      <c r="F16" s="46" t="s">
        <v>7</v>
      </c>
      <c r="G16" s="47" t="s">
        <v>90</v>
      </c>
      <c r="H16" s="77"/>
      <c r="I16" s="86"/>
      <c r="J16" s="85"/>
      <c r="K16" s="197" t="s">
        <v>159</v>
      </c>
      <c r="L16" s="190"/>
      <c r="M16" s="221" t="e">
        <f>+M11/M7</f>
        <v>#DIV/0!</v>
      </c>
      <c r="N16" s="185" t="s">
        <v>102</v>
      </c>
      <c r="O16" s="76" t="e">
        <f>IF(M16&gt;=3,1,0)</f>
        <v>#DIV/0!</v>
      </c>
      <c r="P16" s="74">
        <v>1</v>
      </c>
      <c r="Q16" s="220"/>
      <c r="R16" s="469"/>
      <c r="S16" s="469"/>
      <c r="T16" s="469"/>
      <c r="U16" s="469"/>
      <c r="V16" s="470" t="e">
        <f>IF(AND(V15&gt;=7.5%,F6&lt;50),"MUY ALTO",IF(AND(V15&gt;=2.5%,F6&lt;50),"ALTO",IF(AND(V15&lt;2.5%,F6&lt;50),"BAJO",IF(AND(V15&gt;=10%,F6&gt;50),"MUY ALTO",IF(AND(V15&gt;=5%,F6&gt;50),"ALTO",IF(AND(V15&lt;5%,F6&gt;50),"BAJO"))))))</f>
        <v>#DIV/0!</v>
      </c>
      <c r="W16" s="469"/>
      <c r="X16" s="470" t="e">
        <f>IF(X15&gt;10%,"ALTO",IF(X15&gt;5%,"MODERADO",IF(X15&gt;3%,"LÍMITE",IF(X15&lt;3%,"BAJO"))))</f>
        <v>#DIV/0!</v>
      </c>
      <c r="Y16" s="431"/>
      <c r="Z16" s="431"/>
      <c r="AA16" s="431"/>
      <c r="AB16" s="431"/>
    </row>
    <row r="17" spans="2:28" s="3" customFormat="1" ht="15.05" customHeight="1" x14ac:dyDescent="0.25">
      <c r="B17" s="337"/>
      <c r="C17" s="69"/>
      <c r="D17" s="175" t="s">
        <v>8</v>
      </c>
      <c r="E17" s="178" t="s">
        <v>9</v>
      </c>
      <c r="F17" s="203">
        <v>0</v>
      </c>
      <c r="G17" s="205" t="s">
        <v>141</v>
      </c>
      <c r="H17" s="67">
        <f>IF(F17&gt;6.4,2,IF(F17&gt;=5.7,1,0))</f>
        <v>0</v>
      </c>
      <c r="I17" s="70">
        <v>2</v>
      </c>
      <c r="J17" s="181"/>
      <c r="K17" s="197" t="s">
        <v>160</v>
      </c>
      <c r="L17" s="218"/>
      <c r="M17" s="223" t="e">
        <f>+LOG((M11/88.5)/(M7/38.67))</f>
        <v>#DIV/0!</v>
      </c>
      <c r="N17" s="185" t="s">
        <v>103</v>
      </c>
      <c r="O17" s="76" t="e">
        <f>IF(M17&gt;=0.11,2,0)</f>
        <v>#DIV/0!</v>
      </c>
      <c r="P17" s="74">
        <v>2</v>
      </c>
      <c r="Q17" s="220"/>
      <c r="R17" s="431"/>
      <c r="S17" s="469"/>
      <c r="T17" s="469"/>
      <c r="U17" s="469"/>
      <c r="V17" s="471"/>
      <c r="W17" s="471"/>
      <c r="X17" s="471"/>
      <c r="Y17" s="431"/>
      <c r="Z17" s="431"/>
      <c r="AA17" s="431"/>
      <c r="AB17" s="431"/>
    </row>
    <row r="18" spans="2:28" s="3" customFormat="1" ht="15.05" customHeight="1" thickBot="1" x14ac:dyDescent="0.3">
      <c r="C18" s="69"/>
      <c r="D18" s="103" t="s">
        <v>192</v>
      </c>
      <c r="E18" s="178" t="s">
        <v>10</v>
      </c>
      <c r="F18" s="224">
        <v>0</v>
      </c>
      <c r="G18" s="180" t="s">
        <v>134</v>
      </c>
      <c r="H18" s="77"/>
      <c r="I18" s="78"/>
      <c r="J18" s="225"/>
      <c r="K18" s="226" t="s">
        <v>104</v>
      </c>
      <c r="L18" s="227"/>
      <c r="M18" s="228" t="e">
        <f>+M12/M13</f>
        <v>#DIV/0!</v>
      </c>
      <c r="N18" s="229" t="s">
        <v>105</v>
      </c>
      <c r="O18" s="76" t="e">
        <f>IF(M18&gt;=0.9,1,0)</f>
        <v>#DIV/0!</v>
      </c>
      <c r="P18" s="74">
        <v>1</v>
      </c>
      <c r="Q18" s="220"/>
      <c r="R18" s="469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</row>
    <row r="19" spans="2:28" s="3" customFormat="1" ht="15.05" customHeight="1" thickBot="1" x14ac:dyDescent="0.3">
      <c r="C19" s="69"/>
      <c r="D19" s="197" t="s">
        <v>188</v>
      </c>
      <c r="E19" s="198" t="s">
        <v>10</v>
      </c>
      <c r="F19" s="184">
        <f>+(28.7*F17)-46.7</f>
        <v>-46.7</v>
      </c>
      <c r="G19" s="185" t="s">
        <v>106</v>
      </c>
      <c r="H19" s="67"/>
      <c r="I19" s="70"/>
      <c r="J19" s="181"/>
      <c r="K19" s="230"/>
      <c r="L19" s="230"/>
      <c r="M19" s="230"/>
      <c r="N19" s="230"/>
      <c r="O19" s="79" t="e">
        <f>SUM(O6:O18)</f>
        <v>#DIV/0!</v>
      </c>
      <c r="P19" s="80">
        <f>SUM(P6:P18)</f>
        <v>14.5</v>
      </c>
      <c r="Q19" s="2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2:28" s="3" customFormat="1" ht="15.05" customHeight="1" thickBot="1" x14ac:dyDescent="0.3">
      <c r="C20" s="69"/>
      <c r="D20" s="232" t="s">
        <v>89</v>
      </c>
      <c r="E20" s="233" t="s">
        <v>12</v>
      </c>
      <c r="F20" s="234">
        <v>0</v>
      </c>
      <c r="G20" s="235" t="s">
        <v>145</v>
      </c>
      <c r="H20" s="67">
        <f>IF(F20&gt;25,2,IF(F20&gt;15,1,0))</f>
        <v>0</v>
      </c>
      <c r="I20" s="70">
        <v>2</v>
      </c>
      <c r="J20" s="181"/>
      <c r="K20" s="329" t="s">
        <v>13</v>
      </c>
      <c r="L20" s="330"/>
      <c r="M20" s="330"/>
      <c r="N20" s="331"/>
      <c r="O20" s="89"/>
      <c r="P20" s="86"/>
      <c r="Q20" s="85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2:28" s="3" customFormat="1" ht="15.05" customHeight="1" thickBot="1" x14ac:dyDescent="0.3">
      <c r="C21" s="69"/>
      <c r="D21" s="27"/>
      <c r="E21" s="27"/>
      <c r="F21" s="27"/>
      <c r="G21" s="27"/>
      <c r="H21" s="79">
        <f>SUM(H17:H20)</f>
        <v>0</v>
      </c>
      <c r="I21" s="80">
        <f>SUM(I17:I20)</f>
        <v>4</v>
      </c>
      <c r="J21" s="231"/>
      <c r="K21" s="45" t="s">
        <v>18</v>
      </c>
      <c r="L21" s="46" t="s">
        <v>6</v>
      </c>
      <c r="M21" s="46" t="s">
        <v>7</v>
      </c>
      <c r="N21" s="47" t="s">
        <v>90</v>
      </c>
      <c r="O21" s="77"/>
      <c r="P21" s="70"/>
      <c r="Q21" s="18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</row>
    <row r="22" spans="2:28" s="3" customFormat="1" ht="15.05" customHeight="1" thickBot="1" x14ac:dyDescent="0.3">
      <c r="C22" s="69"/>
      <c r="D22" s="329" t="s">
        <v>107</v>
      </c>
      <c r="E22" s="330"/>
      <c r="F22" s="330"/>
      <c r="G22" s="331"/>
      <c r="H22" s="67"/>
      <c r="I22" s="68"/>
      <c r="J22" s="87"/>
      <c r="K22" s="183" t="s">
        <v>14</v>
      </c>
      <c r="L22" s="170" t="s">
        <v>15</v>
      </c>
      <c r="M22" s="236">
        <v>0</v>
      </c>
      <c r="N22" s="177" t="s">
        <v>163</v>
      </c>
      <c r="O22" s="67">
        <f>IF(M22&gt;140,2,IF(M22&gt;130,1,0))</f>
        <v>0</v>
      </c>
      <c r="P22" s="70">
        <v>2</v>
      </c>
      <c r="Q22" s="18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</row>
    <row r="23" spans="2:28" s="3" customFormat="1" ht="15.05" customHeight="1" thickBot="1" x14ac:dyDescent="0.3">
      <c r="C23" s="69"/>
      <c r="D23" s="45" t="s">
        <v>18</v>
      </c>
      <c r="E23" s="46" t="s">
        <v>6</v>
      </c>
      <c r="F23" s="46" t="s">
        <v>7</v>
      </c>
      <c r="G23" s="47" t="s">
        <v>90</v>
      </c>
      <c r="H23" s="67"/>
      <c r="I23" s="68"/>
      <c r="J23" s="87"/>
      <c r="K23" s="206" t="s">
        <v>16</v>
      </c>
      <c r="L23" s="207" t="s">
        <v>15</v>
      </c>
      <c r="M23" s="208">
        <v>0</v>
      </c>
      <c r="N23" s="209" t="s">
        <v>133</v>
      </c>
      <c r="O23" s="67">
        <f>IF(M23&gt;90,1,0)</f>
        <v>0</v>
      </c>
      <c r="P23" s="70">
        <v>1</v>
      </c>
      <c r="Q23" s="18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</row>
    <row r="24" spans="2:28" s="3" customFormat="1" ht="15.05" customHeight="1" thickBot="1" x14ac:dyDescent="0.3">
      <c r="C24" s="69"/>
      <c r="D24" s="197" t="s">
        <v>109</v>
      </c>
      <c r="E24" s="218"/>
      <c r="F24" s="223">
        <f>(F18*F20)/405</f>
        <v>0</v>
      </c>
      <c r="G24" s="185" t="s">
        <v>142</v>
      </c>
      <c r="H24" s="67">
        <f>IF(F24&gt;2.5,2,IF(F24&gt;1.96,1,0))</f>
        <v>0</v>
      </c>
      <c r="I24" s="70">
        <v>2</v>
      </c>
      <c r="J24" s="181"/>
      <c r="K24" s="230"/>
      <c r="L24" s="230"/>
      <c r="M24" s="230"/>
      <c r="N24" s="230"/>
      <c r="O24" s="79">
        <f>SUM(O22:O23)</f>
        <v>0</v>
      </c>
      <c r="P24" s="80">
        <f>+SUM(P22:P23)</f>
        <v>3</v>
      </c>
      <c r="Q24" s="2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</row>
    <row r="25" spans="2:28" s="3" customFormat="1" ht="15.05" customHeight="1" thickBot="1" x14ac:dyDescent="0.3">
      <c r="C25" s="69"/>
      <c r="D25" s="237" t="s">
        <v>114</v>
      </c>
      <c r="E25" s="218"/>
      <c r="F25" s="223" t="e">
        <f>1/(LOG(F20)+LOG(F18))</f>
        <v>#NUM!</v>
      </c>
      <c r="G25" s="185" t="s">
        <v>143</v>
      </c>
      <c r="H25" s="67" t="e">
        <f>IF(F25&lt;0.33,1,0)</f>
        <v>#NUM!</v>
      </c>
      <c r="I25" s="70">
        <v>1</v>
      </c>
      <c r="J25" s="181"/>
      <c r="K25" s="329" t="s">
        <v>61</v>
      </c>
      <c r="L25" s="330"/>
      <c r="M25" s="330"/>
      <c r="N25" s="331"/>
      <c r="O25" s="77"/>
      <c r="P25" s="82"/>
      <c r="Q25" s="238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</row>
    <row r="26" spans="2:28" s="3" customFormat="1" ht="15.05" customHeight="1" thickBot="1" x14ac:dyDescent="0.3">
      <c r="C26" s="69"/>
      <c r="D26" s="189" t="s">
        <v>167</v>
      </c>
      <c r="E26" s="239"/>
      <c r="F26" s="203" t="e">
        <v>#NUM!</v>
      </c>
      <c r="G26" s="180" t="s">
        <v>95</v>
      </c>
      <c r="H26" s="67" t="e">
        <f>IF(F26&gt;60,1,IF(F26&gt;30,0.5,0))</f>
        <v>#NUM!</v>
      </c>
      <c r="I26" s="70">
        <v>1</v>
      </c>
      <c r="J26" s="181"/>
      <c r="K26" s="326" t="s">
        <v>62</v>
      </c>
      <c r="L26" s="327"/>
      <c r="M26" s="327"/>
      <c r="N26" s="328"/>
      <c r="O26" s="77"/>
      <c r="P26" s="70"/>
      <c r="Q26" s="18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</row>
    <row r="27" spans="2:28" s="3" customFormat="1" ht="15.05" customHeight="1" x14ac:dyDescent="0.25">
      <c r="C27" s="69"/>
      <c r="D27" s="197" t="s">
        <v>137</v>
      </c>
      <c r="E27" s="218"/>
      <c r="F27" s="223" t="e">
        <f>LN(M11*F18)/2</f>
        <v>#NUM!</v>
      </c>
      <c r="G27" s="177" t="s">
        <v>144</v>
      </c>
      <c r="H27" s="67" t="e">
        <f>IF(F27&gt;4.68,2,IF(F27&gt;4.5,1,0))</f>
        <v>#NUM!</v>
      </c>
      <c r="I27" s="70">
        <v>2</v>
      </c>
      <c r="J27" s="181"/>
      <c r="K27" s="45" t="s">
        <v>18</v>
      </c>
      <c r="L27" s="46" t="s">
        <v>6</v>
      </c>
      <c r="M27" s="46" t="s">
        <v>7</v>
      </c>
      <c r="N27" s="47" t="s">
        <v>90</v>
      </c>
      <c r="O27" s="77"/>
      <c r="P27" s="70"/>
      <c r="Q27" s="18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</row>
    <row r="28" spans="2:28" s="3" customFormat="1" ht="15.05" customHeight="1" thickBot="1" x14ac:dyDescent="0.3">
      <c r="C28" s="69"/>
      <c r="D28" s="240" t="s">
        <v>168</v>
      </c>
      <c r="E28" s="227"/>
      <c r="F28" s="241" t="e">
        <f>+(F11/(39.68+(1.88*F10))*((M11*0.01129)/1.03)*(1.31*39/M7))</f>
        <v>#DIV/0!</v>
      </c>
      <c r="G28" s="242" t="str">
        <f>IF(F6&gt;66,"&lt;2,00",IF(F6&gt;=52,"&lt;1,93",IF(F6&gt;=43,"&lt;1,92",IF(F6&gt;=30,"&lt;2,23","&lt;2,52"))))</f>
        <v>&lt;2,52</v>
      </c>
      <c r="H28" s="67" t="e">
        <f>+IF(F28&gt;3,3,IF(F28&gt;2,2,IF(F28&gt;1.92,0.5,0)))</f>
        <v>#DIV/0!</v>
      </c>
      <c r="I28" s="70">
        <v>3</v>
      </c>
      <c r="J28" s="181"/>
      <c r="K28" s="175" t="s">
        <v>85</v>
      </c>
      <c r="L28" s="170" t="s">
        <v>10</v>
      </c>
      <c r="M28" s="223">
        <v>0</v>
      </c>
      <c r="N28" s="177" t="s">
        <v>111</v>
      </c>
      <c r="O28" s="67"/>
      <c r="P28" s="70"/>
      <c r="Q28" s="18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</row>
    <row r="29" spans="2:28" s="3" customFormat="1" ht="15.05" customHeight="1" thickBot="1" x14ac:dyDescent="0.3">
      <c r="C29" s="69"/>
      <c r="D29" s="230"/>
      <c r="E29" s="230"/>
      <c r="F29" s="230"/>
      <c r="G29" s="230"/>
      <c r="H29" s="79" t="e">
        <f>SUM(H24:H27)</f>
        <v>#NUM!</v>
      </c>
      <c r="I29" s="80">
        <f>SUM(I24:I28)</f>
        <v>9</v>
      </c>
      <c r="J29" s="231"/>
      <c r="K29" s="183" t="s">
        <v>183</v>
      </c>
      <c r="L29" s="170" t="s">
        <v>58</v>
      </c>
      <c r="M29" s="184">
        <v>0</v>
      </c>
      <c r="N29" s="185" t="s">
        <v>116</v>
      </c>
      <c r="O29" s="67">
        <f>IF(M29&lt;135,1,IF(M29&gt;145,1,0))</f>
        <v>1</v>
      </c>
      <c r="P29" s="70">
        <v>1</v>
      </c>
      <c r="Q29" s="18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</row>
    <row r="30" spans="2:28" s="3" customFormat="1" ht="15.05" customHeight="1" thickBot="1" x14ac:dyDescent="0.3">
      <c r="C30" s="69"/>
      <c r="D30" s="329" t="s">
        <v>108</v>
      </c>
      <c r="E30" s="330"/>
      <c r="F30" s="330"/>
      <c r="G30" s="331"/>
      <c r="H30" s="77"/>
      <c r="I30" s="78"/>
      <c r="J30" s="225"/>
      <c r="K30" s="192" t="s">
        <v>184</v>
      </c>
      <c r="L30" s="243" t="s">
        <v>58</v>
      </c>
      <c r="M30" s="221">
        <v>0</v>
      </c>
      <c r="N30" s="244" t="s">
        <v>118</v>
      </c>
      <c r="O30" s="67">
        <f>IF(M30&lt;3.5,1,IF(M30&gt;5,1,0))</f>
        <v>1</v>
      </c>
      <c r="P30" s="70">
        <v>1</v>
      </c>
      <c r="Q30" s="18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</row>
    <row r="31" spans="2:28" s="3" customFormat="1" ht="15.05" customHeight="1" thickBot="1" x14ac:dyDescent="0.3">
      <c r="C31" s="69"/>
      <c r="D31" s="45" t="s">
        <v>18</v>
      </c>
      <c r="E31" s="46" t="s">
        <v>6</v>
      </c>
      <c r="F31" s="46" t="s">
        <v>7</v>
      </c>
      <c r="G31" s="47" t="s">
        <v>90</v>
      </c>
      <c r="H31" s="77"/>
      <c r="I31" s="70"/>
      <c r="J31" s="181"/>
      <c r="K31" s="245" t="s">
        <v>201</v>
      </c>
      <c r="L31" s="246" t="s">
        <v>120</v>
      </c>
      <c r="M31" s="247" t="e">
        <f>+IF(M28&lt;=0.9,142*((M28/0.9)^-0.302)*1^-1.2*0.9938^F6,IF(M28&gt;0.9,142*1^-0.302*(M28^-1.2)*0.9938^F6))</f>
        <v>#DIV/0!</v>
      </c>
      <c r="N31" s="248" t="b">
        <f>+IF(F6&gt;70,75,IF(F6&gt;60,85,IF(F6&gt;50,93,IF(F6&gt;40,99,IF(F6&gt;30,107)))))</f>
        <v>0</v>
      </c>
      <c r="O31" s="67" t="e">
        <f>IF(M31&lt;N31,3,0)</f>
        <v>#DIV/0!</v>
      </c>
      <c r="P31" s="70">
        <v>3</v>
      </c>
      <c r="Q31" s="18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</row>
    <row r="32" spans="2:28" s="3" customFormat="1" ht="15.05" customHeight="1" thickBot="1" x14ac:dyDescent="0.3">
      <c r="C32" s="69"/>
      <c r="D32" s="175" t="s">
        <v>83</v>
      </c>
      <c r="E32" s="178" t="s">
        <v>58</v>
      </c>
      <c r="F32" s="249">
        <v>0</v>
      </c>
      <c r="G32" s="180" t="s">
        <v>110</v>
      </c>
      <c r="H32" s="71">
        <f>IF(F32&gt;15,1,0)</f>
        <v>0</v>
      </c>
      <c r="I32" s="83">
        <v>1</v>
      </c>
      <c r="J32" s="250"/>
      <c r="K32" s="326" t="s">
        <v>87</v>
      </c>
      <c r="L32" s="327"/>
      <c r="M32" s="327"/>
      <c r="N32" s="328"/>
      <c r="O32" s="77"/>
      <c r="P32" s="70"/>
      <c r="Q32" s="18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</row>
    <row r="33" spans="3:28" s="3" customFormat="1" ht="15.05" customHeight="1" x14ac:dyDescent="0.25">
      <c r="C33" s="69"/>
      <c r="D33" s="175" t="s">
        <v>179</v>
      </c>
      <c r="E33" s="178" t="s">
        <v>59</v>
      </c>
      <c r="F33" s="224">
        <v>0</v>
      </c>
      <c r="G33" s="180" t="s">
        <v>92</v>
      </c>
      <c r="H33" s="81">
        <f>IF(F33&gt;=200,1,0)</f>
        <v>0</v>
      </c>
      <c r="I33" s="84">
        <v>1</v>
      </c>
      <c r="J33" s="251"/>
      <c r="K33" s="175" t="s">
        <v>86</v>
      </c>
      <c r="L33" s="178" t="s">
        <v>60</v>
      </c>
      <c r="M33" s="252">
        <v>0</v>
      </c>
      <c r="N33" s="180" t="s">
        <v>121</v>
      </c>
      <c r="O33" s="67"/>
      <c r="P33" s="70"/>
      <c r="Q33" s="18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</row>
    <row r="34" spans="3:28" s="3" customFormat="1" ht="15.05" customHeight="1" x14ac:dyDescent="0.25">
      <c r="C34" s="69"/>
      <c r="D34" s="253" t="s">
        <v>112</v>
      </c>
      <c r="E34" s="170" t="s">
        <v>60</v>
      </c>
      <c r="F34" s="254">
        <v>0</v>
      </c>
      <c r="G34" s="185" t="s">
        <v>113</v>
      </c>
      <c r="H34" s="67">
        <f>IF(F34&gt;10,1,0)</f>
        <v>0</v>
      </c>
      <c r="I34" s="70">
        <v>1</v>
      </c>
      <c r="J34" s="181"/>
      <c r="K34" s="175" t="s">
        <v>85</v>
      </c>
      <c r="L34" s="178" t="s">
        <v>10</v>
      </c>
      <c r="M34" s="255">
        <v>0</v>
      </c>
      <c r="N34" s="180" t="s">
        <v>122</v>
      </c>
      <c r="O34" s="67"/>
      <c r="P34" s="70"/>
      <c r="Q34" s="18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</row>
    <row r="35" spans="3:28" s="3" customFormat="1" ht="15.05" customHeight="1" thickBot="1" x14ac:dyDescent="0.3">
      <c r="C35" s="69"/>
      <c r="D35" s="175" t="s">
        <v>180</v>
      </c>
      <c r="E35" s="178" t="s">
        <v>10</v>
      </c>
      <c r="F35" s="224">
        <v>0</v>
      </c>
      <c r="G35" s="180" t="s">
        <v>117</v>
      </c>
      <c r="H35" s="67">
        <f>IF(F35&gt;400,3,IF(F35&lt;200,1,0))</f>
        <v>1</v>
      </c>
      <c r="I35" s="70">
        <v>3</v>
      </c>
      <c r="J35" s="181"/>
      <c r="K35" s="256" t="s">
        <v>164</v>
      </c>
      <c r="L35" s="257" t="s">
        <v>123</v>
      </c>
      <c r="M35" s="228" t="e">
        <f>+M33*100/M34</f>
        <v>#DIV/0!</v>
      </c>
      <c r="N35" s="258" t="s">
        <v>95</v>
      </c>
      <c r="O35" s="67" t="e">
        <f>+IF(M35&gt;20,1,0)</f>
        <v>#DIV/0!</v>
      </c>
      <c r="P35" s="70">
        <v>1</v>
      </c>
      <c r="Q35" s="18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</row>
    <row r="36" spans="3:28" s="3" customFormat="1" ht="15.05" customHeight="1" thickBot="1" x14ac:dyDescent="0.35">
      <c r="C36" s="66"/>
      <c r="D36" s="232" t="s">
        <v>65</v>
      </c>
      <c r="E36" s="259" t="s">
        <v>60</v>
      </c>
      <c r="F36" s="260">
        <v>0</v>
      </c>
      <c r="G36" s="261" t="s">
        <v>119</v>
      </c>
      <c r="H36" s="71">
        <f>IF(F36&gt;3,3,IF(F36&gt;2,2,IF(F36&gt;1,1,0)))</f>
        <v>0</v>
      </c>
      <c r="I36" s="83">
        <v>3</v>
      </c>
      <c r="J36" s="250"/>
      <c r="M36" s="262"/>
      <c r="O36" s="79" t="e">
        <f>SUM(O28:O35)</f>
        <v>#DIV/0!</v>
      </c>
      <c r="P36" s="80">
        <f>+SUM(P26:P35)</f>
        <v>6</v>
      </c>
      <c r="Q36" s="231"/>
      <c r="R36" s="431"/>
      <c r="S36" s="431"/>
      <c r="T36" s="431"/>
      <c r="U36" s="431"/>
      <c r="V36" s="431"/>
      <c r="W36" s="431"/>
      <c r="X36" s="431"/>
      <c r="Y36" s="431"/>
      <c r="Z36" s="431"/>
      <c r="AA36" s="431"/>
      <c r="AB36" s="431"/>
    </row>
    <row r="37" spans="3:28" ht="15.05" customHeight="1" x14ac:dyDescent="0.3">
      <c r="C37" s="433"/>
      <c r="H37" s="472">
        <f>SUM(H32:H36)</f>
        <v>1</v>
      </c>
      <c r="I37" s="473">
        <f>SUM(I32:I36)</f>
        <v>9</v>
      </c>
      <c r="J37" s="474"/>
      <c r="O37" s="475"/>
      <c r="P37" s="476"/>
      <c r="Q37" s="476"/>
    </row>
    <row r="38" spans="3:28" ht="15.05" customHeight="1" x14ac:dyDescent="0.3">
      <c r="C38" s="433"/>
      <c r="G38" s="477"/>
      <c r="H38" s="475"/>
      <c r="I38" s="476"/>
      <c r="J38" s="476"/>
      <c r="O38" s="478"/>
      <c r="P38" s="476"/>
      <c r="Q38" s="476"/>
    </row>
    <row r="39" spans="3:28" ht="15.05" customHeight="1" x14ac:dyDescent="0.25"/>
    <row r="40" spans="3:28" x14ac:dyDescent="0.25"/>
    <row r="41" spans="3:28" x14ac:dyDescent="0.25"/>
    <row r="42" spans="3:28" x14ac:dyDescent="0.25"/>
    <row r="43" spans="3:28" x14ac:dyDescent="0.25"/>
    <row r="44" spans="3:28" x14ac:dyDescent="0.25"/>
  </sheetData>
  <sheetProtection algorithmName="SHA-512" hashValue="nGvKgH/ZXXtERvGye9XsMJ8OMap7RG2YgZsmjVWBuS1GeCgP51oLuY+/oFXAr4oxjK0o4dWi/BeXr+ggIBqtLA==" saltValue="hrTLBEf845nJgWb9xgyDEQ==" spinCount="100000" sheet="1" objects="1" scenarios="1" selectLockedCells="1"/>
  <mergeCells count="17">
    <mergeCell ref="D30:G30"/>
    <mergeCell ref="K32:N32"/>
    <mergeCell ref="B11:B17"/>
    <mergeCell ref="D15:G15"/>
    <mergeCell ref="K20:N20"/>
    <mergeCell ref="D22:G22"/>
    <mergeCell ref="K25:N25"/>
    <mergeCell ref="K26:N26"/>
    <mergeCell ref="K1:N2"/>
    <mergeCell ref="B4:B10"/>
    <mergeCell ref="D4:G4"/>
    <mergeCell ref="K4:N4"/>
    <mergeCell ref="R4:X4"/>
    <mergeCell ref="R5:R7"/>
    <mergeCell ref="T5:U6"/>
    <mergeCell ref="V5:V6"/>
    <mergeCell ref="X5:X6"/>
  </mergeCells>
  <conditionalFormatting sqref="F7">
    <cfRule type="expression" dxfId="117" priority="15">
      <formula>F7&gt;$F$8</formula>
    </cfRule>
  </conditionalFormatting>
  <conditionalFormatting sqref="F10">
    <cfRule type="cellIs" dxfId="116" priority="11" operator="greaterThanOrEqual">
      <formula>30</formula>
    </cfRule>
    <cfRule type="cellIs" dxfId="115" priority="14" operator="between">
      <formula>25</formula>
      <formula>29.9</formula>
    </cfRule>
  </conditionalFormatting>
  <conditionalFormatting sqref="F11">
    <cfRule type="cellIs" dxfId="114" priority="31" operator="between">
      <formula>94</formula>
      <formula>102</formula>
    </cfRule>
    <cfRule type="cellIs" dxfId="113" priority="32" operator="greaterThanOrEqual">
      <formula>102</formula>
    </cfRule>
  </conditionalFormatting>
  <conditionalFormatting sqref="F12">
    <cfRule type="cellIs" dxfId="112" priority="34" operator="greaterThan">
      <formula>0.52</formula>
    </cfRule>
  </conditionalFormatting>
  <conditionalFormatting sqref="F13">
    <cfRule type="cellIs" dxfId="111" priority="59" operator="greaterThan">
      <formula>21</formula>
    </cfRule>
  </conditionalFormatting>
  <conditionalFormatting sqref="F17">
    <cfRule type="cellIs" dxfId="110" priority="54" operator="between">
      <formula>5.7</formula>
      <formula>6.4</formula>
    </cfRule>
    <cfRule type="cellIs" dxfId="109" priority="55" stopIfTrue="1" operator="greaterThan">
      <formula>6.4</formula>
    </cfRule>
  </conditionalFormatting>
  <conditionalFormatting sqref="F18">
    <cfRule type="cellIs" dxfId="108" priority="24" operator="lessThan">
      <formula>60</formula>
    </cfRule>
    <cfRule type="cellIs" dxfId="107" priority="25" stopIfTrue="1" operator="between">
      <formula>101</formula>
      <formula>125</formula>
    </cfRule>
    <cfRule type="cellIs" dxfId="106" priority="26" stopIfTrue="1" operator="greaterThanOrEqual">
      <formula>126</formula>
    </cfRule>
  </conditionalFormatting>
  <conditionalFormatting sqref="F19">
    <cfRule type="cellIs" dxfId="105" priority="52" operator="greaterThan">
      <formula>140</formula>
    </cfRule>
    <cfRule type="cellIs" dxfId="104" priority="53" operator="between">
      <formula>115</formula>
      <formula>140</formula>
    </cfRule>
  </conditionalFormatting>
  <conditionalFormatting sqref="F20">
    <cfRule type="cellIs" dxfId="103" priority="8" operator="lessThan">
      <formula>2.6</formula>
    </cfRule>
    <cfRule type="cellIs" dxfId="102" priority="51" operator="greaterThan">
      <formula>25</formula>
    </cfRule>
    <cfRule type="cellIs" dxfId="101" priority="57" operator="between">
      <formula>10</formula>
      <formula>25</formula>
    </cfRule>
  </conditionalFormatting>
  <conditionalFormatting sqref="F24">
    <cfRule type="cellIs" dxfId="100" priority="50" operator="greaterThanOrEqual">
      <formula>1.99</formula>
    </cfRule>
  </conditionalFormatting>
  <conditionalFormatting sqref="F25">
    <cfRule type="cellIs" dxfId="99" priority="49" operator="lessThan">
      <formula>0.35</formula>
    </cfRule>
  </conditionalFormatting>
  <conditionalFormatting sqref="F26">
    <cfRule type="cellIs" dxfId="98" priority="37" operator="greaterThan">
      <formula>60</formula>
    </cfRule>
    <cfRule type="cellIs" dxfId="97" priority="38" operator="between">
      <formula>30</formula>
      <formula>60</formula>
    </cfRule>
  </conditionalFormatting>
  <conditionalFormatting sqref="F27">
    <cfRule type="cellIs" dxfId="96" priority="10" operator="greaterThan">
      <formula>6.8</formula>
    </cfRule>
    <cfRule type="cellIs" dxfId="95" priority="33" operator="between">
      <formula>4.5</formula>
      <formula>6.8</formula>
    </cfRule>
  </conditionalFormatting>
  <conditionalFormatting sqref="M6">
    <cfRule type="cellIs" dxfId="94" priority="56" stopIfTrue="1" operator="greaterThan">
      <formula>200</formula>
    </cfRule>
  </conditionalFormatting>
  <conditionalFormatting sqref="M7">
    <cfRule type="cellIs" dxfId="93" priority="41" operator="lessThan">
      <formula>55</formula>
    </cfRule>
  </conditionalFormatting>
  <conditionalFormatting sqref="M11">
    <cfRule type="cellIs" dxfId="92" priority="29" operator="greaterThan">
      <formula>150</formula>
    </cfRule>
  </conditionalFormatting>
  <conditionalFormatting sqref="M10">
    <cfRule type="cellIs" dxfId="91" priority="28" operator="greaterThanOrEqual">
      <formula>30</formula>
    </cfRule>
  </conditionalFormatting>
  <conditionalFormatting sqref="M9">
    <cfRule type="cellIs" dxfId="90" priority="48" operator="greaterThanOrEqual">
      <formula>116</formula>
    </cfRule>
  </conditionalFormatting>
  <conditionalFormatting sqref="M12">
    <cfRule type="cellIs" dxfId="89" priority="44" operator="greaterThan">
      <formula>144</formula>
    </cfRule>
  </conditionalFormatting>
  <conditionalFormatting sqref="M13">
    <cfRule type="cellIs" dxfId="88" priority="45" operator="lessThan">
      <formula>94</formula>
    </cfRule>
  </conditionalFormatting>
  <conditionalFormatting sqref="M14">
    <cfRule type="cellIs" dxfId="87" priority="42" operator="greaterThanOrEqual">
      <formula>30</formula>
    </cfRule>
  </conditionalFormatting>
  <conditionalFormatting sqref="M15">
    <cfRule type="cellIs" dxfId="86" priority="46" operator="greaterThan">
      <formula>4.5</formula>
    </cfRule>
  </conditionalFormatting>
  <conditionalFormatting sqref="M16">
    <cfRule type="cellIs" dxfId="85" priority="16" operator="greaterThanOrEqual">
      <formula>3</formula>
    </cfRule>
  </conditionalFormatting>
  <conditionalFormatting sqref="M17">
    <cfRule type="cellIs" dxfId="84" priority="30" operator="greaterThanOrEqual">
      <formula>0.11</formula>
    </cfRule>
  </conditionalFormatting>
  <conditionalFormatting sqref="M18">
    <cfRule type="cellIs" dxfId="83" priority="43" operator="greaterThanOrEqual">
      <formula>0.9</formula>
    </cfRule>
  </conditionalFormatting>
  <conditionalFormatting sqref="M22">
    <cfRule type="cellIs" dxfId="82" priority="6" operator="between">
      <formula>130</formula>
      <formula>139</formula>
    </cfRule>
    <cfRule type="cellIs" dxfId="81" priority="7" operator="between">
      <formula>120</formula>
      <formula>129</formula>
    </cfRule>
    <cfRule type="cellIs" dxfId="80" priority="36" operator="greaterThanOrEqual">
      <formula>140</formula>
    </cfRule>
  </conditionalFormatting>
  <conditionalFormatting sqref="M23">
    <cfRule type="cellIs" dxfId="79" priority="5" operator="between">
      <formula>80</formula>
      <formula>89</formula>
    </cfRule>
    <cfRule type="cellIs" dxfId="78" priority="35" operator="greaterThanOrEqual">
      <formula>90</formula>
    </cfRule>
  </conditionalFormatting>
  <conditionalFormatting sqref="M28">
    <cfRule type="cellIs" dxfId="77" priority="47" operator="greaterThan">
      <formula>1.3</formula>
    </cfRule>
  </conditionalFormatting>
  <conditionalFormatting sqref="M29">
    <cfRule type="cellIs" dxfId="76" priority="39" operator="notBetween">
      <formula>135</formula>
      <formula>145</formula>
    </cfRule>
  </conditionalFormatting>
  <conditionalFormatting sqref="M30">
    <cfRule type="cellIs" dxfId="75" priority="40" operator="notBetween">
      <formula>3.5</formula>
      <formula>5</formula>
    </cfRule>
  </conditionalFormatting>
  <conditionalFormatting sqref="M31">
    <cfRule type="cellIs" dxfId="74" priority="1" operator="between">
      <formula>60</formula>
      <formula>89</formula>
    </cfRule>
    <cfRule type="cellIs" dxfId="73" priority="2" operator="between">
      <formula>15</formula>
      <formula>59</formula>
    </cfRule>
    <cfRule type="cellIs" dxfId="72" priority="23" operator="lessThan">
      <formula>15</formula>
    </cfRule>
  </conditionalFormatting>
  <conditionalFormatting sqref="M33">
    <cfRule type="cellIs" dxfId="71" priority="27" operator="greaterThanOrEqual">
      <formula>20</formula>
    </cfRule>
  </conditionalFormatting>
  <conditionalFormatting sqref="M34">
    <cfRule type="cellIs" dxfId="70" priority="58" stopIfTrue="1" operator="notBetween">
      <formula>40</formula>
      <formula>280</formula>
    </cfRule>
  </conditionalFormatting>
  <conditionalFormatting sqref="F32">
    <cfRule type="cellIs" dxfId="69" priority="21" stopIfTrue="1" operator="greaterThan">
      <formula>15</formula>
    </cfRule>
  </conditionalFormatting>
  <conditionalFormatting sqref="F33">
    <cfRule type="cellIs" dxfId="68" priority="20" stopIfTrue="1" operator="greaterThanOrEqual">
      <formula>200</formula>
    </cfRule>
  </conditionalFormatting>
  <conditionalFormatting sqref="F34">
    <cfRule type="cellIs" dxfId="67" priority="17" operator="greaterThanOrEqual">
      <formula>10</formula>
    </cfRule>
  </conditionalFormatting>
  <conditionalFormatting sqref="F35">
    <cfRule type="cellIs" dxfId="66" priority="22" stopIfTrue="1" operator="greaterThanOrEqual">
      <formula>350</formula>
    </cfRule>
  </conditionalFormatting>
  <conditionalFormatting sqref="F36">
    <cfRule type="cellIs" dxfId="65" priority="18" stopIfTrue="1" operator="between">
      <formula>1</formula>
      <formula>3</formula>
    </cfRule>
    <cfRule type="cellIs" dxfId="64" priority="19" stopIfTrue="1" operator="greaterThan">
      <formula>3</formula>
    </cfRule>
  </conditionalFormatting>
  <conditionalFormatting sqref="V8:V14">
    <cfRule type="cellIs" dxfId="63" priority="13" operator="greaterThanOrEqual">
      <formula>0.3</formula>
    </cfRule>
  </conditionalFormatting>
  <conditionalFormatting sqref="M8">
    <cfRule type="cellIs" dxfId="62" priority="12" operator="greaterThanOrEqual">
      <formula>130</formula>
    </cfRule>
  </conditionalFormatting>
  <conditionalFormatting sqref="F28">
    <cfRule type="cellIs" dxfId="61" priority="9" operator="greaterThan">
      <formula>1.92</formula>
    </cfRule>
  </conditionalFormatting>
  <conditionalFormatting sqref="M35">
    <cfRule type="cellIs" dxfId="60" priority="3" operator="greaterThan">
      <formula>300</formula>
    </cfRule>
    <cfRule type="cellIs" dxfId="59" priority="4" operator="between">
      <formula>30</formula>
      <formula>300</formula>
    </cfRule>
  </conditionalFormatting>
  <hyperlinks>
    <hyperlink ref="B11:B17" location="RESULTADOS!A1" tooltip="VOLVER A RESULTADOS" display="RESULTADOS" xr:uid="{AECEB680-7B77-4E55-9A6E-9F525982B825}"/>
    <hyperlink ref="B4:B10" location="INICIO!A1" tooltip="VOLVER A INICIO" display="INICIO" xr:uid="{70F20184-D59D-4182-8F94-BAAABB245AE6}"/>
  </hyperlinks>
  <pageMargins left="0.7" right="0.7" top="0.75" bottom="0.75" header="0.3" footer="0.3"/>
  <pageSetup scale="57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7A45-6137-4E2C-BBFB-EF9443BD445D}">
  <sheetPr>
    <pageSetUpPr fitToPage="1"/>
  </sheetPr>
  <dimension ref="A1:X44"/>
  <sheetViews>
    <sheetView showGridLines="0" zoomScale="70" zoomScaleNormal="70" workbookViewId="0">
      <selection activeCell="B11" sqref="B11:B17"/>
    </sheetView>
  </sheetViews>
  <sheetFormatPr baseColWidth="10" defaultColWidth="0" defaultRowHeight="14.4" zeroHeight="1" outlineLevelCol="1" x14ac:dyDescent="0.25"/>
  <cols>
    <col min="1" max="1" width="5.21875" style="3" customWidth="1"/>
    <col min="2" max="2" width="5.88671875" style="3" customWidth="1"/>
    <col min="3" max="3" width="1.6640625" style="3" customWidth="1"/>
    <col min="4" max="4" width="30.5546875" style="3" bestFit="1" customWidth="1"/>
    <col min="5" max="5" width="6.77734375" style="3" bestFit="1" customWidth="1"/>
    <col min="6" max="6" width="8.33203125" style="3" bestFit="1" customWidth="1"/>
    <col min="7" max="7" width="8.77734375" style="3" bestFit="1" customWidth="1"/>
    <col min="8" max="8" width="7" style="3" hidden="1" customWidth="1" outlineLevel="1"/>
    <col min="9" max="9" width="4.109375" style="3" hidden="1" customWidth="1" outlineLevel="1"/>
    <col min="10" max="10" width="4.109375" style="154" customWidth="1" collapsed="1"/>
    <col min="11" max="11" width="28.33203125" style="3" bestFit="1" customWidth="1"/>
    <col min="12" max="12" width="13.109375" style="3" bestFit="1" customWidth="1"/>
    <col min="13" max="13" width="8.33203125" style="3" customWidth="1"/>
    <col min="14" max="14" width="8.77734375" style="3" bestFit="1" customWidth="1"/>
    <col min="15" max="15" width="3.109375" style="3" hidden="1" customWidth="1" outlineLevel="1"/>
    <col min="16" max="16" width="4.6640625" style="3" hidden="1" customWidth="1" outlineLevel="1"/>
    <col min="17" max="17" width="4.21875" style="154" customWidth="1" collapsed="1"/>
    <col min="18" max="18" width="20.33203125" style="3" bestFit="1" customWidth="1"/>
    <col min="19" max="19" width="12.44140625" style="3" hidden="1" customWidth="1" outlineLevel="1"/>
    <col min="20" max="20" width="7.21875" style="3" hidden="1" customWidth="1" outlineLevel="1"/>
    <col min="21" max="21" width="5.77734375" style="3" hidden="1" customWidth="1" outlineLevel="1"/>
    <col min="22" max="22" width="10.6640625" style="3" customWidth="1" collapsed="1"/>
    <col min="23" max="23" width="17.5546875" style="3" hidden="1" customWidth="1" outlineLevel="1"/>
    <col min="24" max="24" width="11.21875" style="3" customWidth="1" collapsed="1"/>
    <col min="25" max="25" width="11.21875" style="3" customWidth="1"/>
    <col min="26" max="28" width="11.5546875" style="3" customWidth="1"/>
    <col min="29" max="16384" width="11.5546875" style="3" hidden="1"/>
  </cols>
  <sheetData>
    <row r="1" spans="1:24" ht="15.05" customHeight="1" x14ac:dyDescent="0.25">
      <c r="J1" s="3"/>
      <c r="K1" s="347" t="s">
        <v>197</v>
      </c>
      <c r="L1" s="347"/>
      <c r="M1" s="347"/>
      <c r="N1" s="347"/>
      <c r="O1" s="5"/>
      <c r="Q1" s="3"/>
      <c r="U1" s="97"/>
    </row>
    <row r="2" spans="1:24" ht="15.05" customHeight="1" x14ac:dyDescent="0.25">
      <c r="B2" s="167" t="s">
        <v>64</v>
      </c>
      <c r="D2" s="54">
        <v>2145879</v>
      </c>
      <c r="J2" s="3"/>
      <c r="K2" s="347"/>
      <c r="L2" s="347"/>
      <c r="M2" s="347"/>
      <c r="N2" s="347"/>
      <c r="O2" s="5"/>
      <c r="Q2" s="3"/>
      <c r="U2" s="97"/>
    </row>
    <row r="3" spans="1:24" ht="15.05" customHeight="1" thickBot="1" x14ac:dyDescent="0.35">
      <c r="I3" s="172"/>
      <c r="J3" s="171"/>
      <c r="N3" s="169"/>
      <c r="O3" s="263"/>
      <c r="P3" s="172"/>
      <c r="Q3" s="171"/>
      <c r="U3" s="97"/>
    </row>
    <row r="4" spans="1:24" ht="15.05" customHeight="1" thickBot="1" x14ac:dyDescent="0.3">
      <c r="B4" s="361" t="s">
        <v>186</v>
      </c>
      <c r="D4" s="329" t="s">
        <v>127</v>
      </c>
      <c r="E4" s="330"/>
      <c r="F4" s="330"/>
      <c r="G4" s="331"/>
      <c r="I4" s="264"/>
      <c r="J4" s="4"/>
      <c r="K4" s="329" t="s">
        <v>17</v>
      </c>
      <c r="L4" s="330"/>
      <c r="M4" s="330"/>
      <c r="N4" s="331"/>
      <c r="O4" s="265"/>
      <c r="P4" s="266"/>
      <c r="Q4" s="267"/>
      <c r="R4" s="338" t="s">
        <v>187</v>
      </c>
      <c r="S4" s="339"/>
      <c r="T4" s="339"/>
      <c r="U4" s="349"/>
      <c r="V4" s="339"/>
      <c r="W4" s="339"/>
      <c r="X4" s="340"/>
    </row>
    <row r="5" spans="1:24" ht="15.05" customHeight="1" x14ac:dyDescent="0.25">
      <c r="B5" s="361"/>
      <c r="D5" s="42" t="s">
        <v>18</v>
      </c>
      <c r="E5" s="43" t="s">
        <v>6</v>
      </c>
      <c r="F5" s="43" t="s">
        <v>7</v>
      </c>
      <c r="G5" s="44" t="s">
        <v>90</v>
      </c>
      <c r="I5" s="264"/>
      <c r="J5" s="4"/>
      <c r="K5" s="45" t="s">
        <v>18</v>
      </c>
      <c r="L5" s="46" t="s">
        <v>6</v>
      </c>
      <c r="M5" s="429" t="s">
        <v>7</v>
      </c>
      <c r="N5" s="47" t="s">
        <v>90</v>
      </c>
      <c r="O5" s="5"/>
      <c r="P5" s="264"/>
      <c r="Q5" s="4"/>
      <c r="R5" s="341" t="s">
        <v>124</v>
      </c>
      <c r="S5" s="268" t="s">
        <v>173</v>
      </c>
      <c r="T5" s="344" t="s">
        <v>125</v>
      </c>
      <c r="U5" s="350"/>
      <c r="V5" s="398" t="s">
        <v>171</v>
      </c>
      <c r="W5" s="174" t="s">
        <v>169</v>
      </c>
      <c r="X5" s="346" t="s">
        <v>171</v>
      </c>
    </row>
    <row r="6" spans="1:24" ht="15.05" customHeight="1" x14ac:dyDescent="0.25">
      <c r="B6" s="361"/>
      <c r="D6" s="175" t="s">
        <v>78</v>
      </c>
      <c r="E6" s="170" t="s">
        <v>0</v>
      </c>
      <c r="F6" s="176">
        <v>0</v>
      </c>
      <c r="G6" s="177" t="s">
        <v>91</v>
      </c>
      <c r="I6" s="264"/>
      <c r="J6" s="4"/>
      <c r="K6" s="175" t="s">
        <v>19</v>
      </c>
      <c r="L6" s="178" t="s">
        <v>10</v>
      </c>
      <c r="M6" s="184">
        <v>0</v>
      </c>
      <c r="N6" s="180" t="s">
        <v>92</v>
      </c>
      <c r="O6" s="265">
        <f>IF(M6&gt;200,1,0)</f>
        <v>0</v>
      </c>
      <c r="P6" s="269">
        <v>1</v>
      </c>
      <c r="Q6" s="270"/>
      <c r="R6" s="342"/>
      <c r="S6" s="271" t="s">
        <v>174</v>
      </c>
      <c r="T6" s="345"/>
      <c r="U6" s="351"/>
      <c r="V6" s="399"/>
      <c r="W6" s="182" t="s">
        <v>170</v>
      </c>
      <c r="X6" s="352"/>
    </row>
    <row r="7" spans="1:24" ht="15.05" customHeight="1" thickBot="1" x14ac:dyDescent="0.3">
      <c r="B7" s="361"/>
      <c r="D7" s="175" t="s">
        <v>79</v>
      </c>
      <c r="E7" s="170" t="s">
        <v>1</v>
      </c>
      <c r="F7" s="179">
        <v>0</v>
      </c>
      <c r="G7" s="177" t="s">
        <v>91</v>
      </c>
      <c r="I7" s="264"/>
      <c r="J7" s="4"/>
      <c r="K7" s="183" t="s">
        <v>151</v>
      </c>
      <c r="L7" s="178" t="s">
        <v>10</v>
      </c>
      <c r="M7" s="184">
        <v>0</v>
      </c>
      <c r="N7" s="185" t="s">
        <v>154</v>
      </c>
      <c r="O7" s="265">
        <f>IF(M7&lt;=50,1,0)</f>
        <v>1</v>
      </c>
      <c r="P7" s="269">
        <v>1</v>
      </c>
      <c r="Q7" s="270"/>
      <c r="R7" s="343"/>
      <c r="S7" s="272" t="s">
        <v>175</v>
      </c>
      <c r="T7" s="186" t="s">
        <v>126</v>
      </c>
      <c r="U7" s="98" t="s">
        <v>9</v>
      </c>
      <c r="V7" s="400" t="s">
        <v>176</v>
      </c>
      <c r="W7" s="187" t="s">
        <v>172</v>
      </c>
      <c r="X7" s="188" t="s">
        <v>172</v>
      </c>
    </row>
    <row r="8" spans="1:24" ht="15.05" customHeight="1" x14ac:dyDescent="0.25">
      <c r="A8" s="99"/>
      <c r="B8" s="361"/>
      <c r="C8" s="99"/>
      <c r="D8" s="145" t="s">
        <v>93</v>
      </c>
      <c r="E8" s="100" t="s">
        <v>1</v>
      </c>
      <c r="F8" s="273">
        <f>+((F9*100)-100)-(((F9*100)-100)-52)*0.4</f>
        <v>-39.199999999999996</v>
      </c>
      <c r="G8" s="101" t="s">
        <v>91</v>
      </c>
      <c r="H8" s="99"/>
      <c r="I8" s="102"/>
      <c r="J8" s="146"/>
      <c r="K8" s="103" t="s">
        <v>148</v>
      </c>
      <c r="L8" s="170" t="s">
        <v>10</v>
      </c>
      <c r="M8" s="184">
        <f>+M6-M7</f>
        <v>0</v>
      </c>
      <c r="N8" s="104" t="s">
        <v>155</v>
      </c>
      <c r="O8" s="105">
        <f>IF(M8&gt;=130,1,0)</f>
        <v>0</v>
      </c>
      <c r="P8" s="106">
        <v>1</v>
      </c>
      <c r="Q8" s="151"/>
      <c r="R8" s="107" t="s">
        <v>127</v>
      </c>
      <c r="S8" s="108">
        <f>+I14</f>
        <v>5</v>
      </c>
      <c r="T8" s="158" t="e">
        <f>+H14</f>
        <v>#DIV/0!</v>
      </c>
      <c r="U8" s="109" t="e">
        <f t="shared" ref="U8:U14" si="0">+T8/S8</f>
        <v>#DIV/0!</v>
      </c>
      <c r="V8" s="159" t="e">
        <f t="shared" ref="V8:V14" si="1">+T8*W8/$S$15</f>
        <v>#DIV/0!</v>
      </c>
      <c r="W8" s="110">
        <v>0.04</v>
      </c>
      <c r="X8" s="161" t="e">
        <f>+T8*W8*1.3/100</f>
        <v>#DIV/0!</v>
      </c>
    </row>
    <row r="9" spans="1:24" ht="15.05" customHeight="1" x14ac:dyDescent="0.25">
      <c r="B9" s="361"/>
      <c r="D9" s="175" t="s">
        <v>177</v>
      </c>
      <c r="E9" s="170" t="s">
        <v>2</v>
      </c>
      <c r="F9" s="196">
        <v>0</v>
      </c>
      <c r="G9" s="177" t="s">
        <v>91</v>
      </c>
      <c r="I9" s="264"/>
      <c r="J9" s="4"/>
      <c r="K9" s="197" t="s">
        <v>152</v>
      </c>
      <c r="L9" s="198" t="s">
        <v>10</v>
      </c>
      <c r="M9" s="184">
        <f>+M6-M7-M10</f>
        <v>0</v>
      </c>
      <c r="N9" s="185" t="s">
        <v>156</v>
      </c>
      <c r="O9" s="265">
        <f>IF(M9&gt;=116,1,0)</f>
        <v>0</v>
      </c>
      <c r="P9" s="269">
        <v>1</v>
      </c>
      <c r="Q9" s="270"/>
      <c r="R9" s="199" t="s">
        <v>129</v>
      </c>
      <c r="S9" s="200">
        <f>+I21</f>
        <v>4</v>
      </c>
      <c r="T9" s="201">
        <f>+H21</f>
        <v>0</v>
      </c>
      <c r="U9" s="111">
        <f t="shared" si="0"/>
        <v>0</v>
      </c>
      <c r="V9" s="274">
        <f t="shared" si="1"/>
        <v>0</v>
      </c>
      <c r="W9" s="90">
        <v>0.12</v>
      </c>
      <c r="X9" s="162">
        <f>+T9*W9*1.7/100</f>
        <v>0</v>
      </c>
    </row>
    <row r="10" spans="1:24" ht="15.05" customHeight="1" x14ac:dyDescent="0.25">
      <c r="B10" s="361"/>
      <c r="D10" s="189" t="s">
        <v>96</v>
      </c>
      <c r="E10" s="190" t="s">
        <v>97</v>
      </c>
      <c r="F10" s="203" t="e">
        <f>+F7/(F9^2)</f>
        <v>#DIV/0!</v>
      </c>
      <c r="G10" s="177" t="s">
        <v>138</v>
      </c>
      <c r="I10" s="264"/>
      <c r="J10" s="4"/>
      <c r="K10" s="183" t="s">
        <v>182</v>
      </c>
      <c r="L10" s="178" t="s">
        <v>10</v>
      </c>
      <c r="M10" s="184">
        <v>0</v>
      </c>
      <c r="N10" s="185" t="s">
        <v>95</v>
      </c>
      <c r="O10" s="265">
        <f>+IF(M10&gt;=30,0.5,0)</f>
        <v>0</v>
      </c>
      <c r="P10" s="269">
        <v>0.5</v>
      </c>
      <c r="Q10" s="270"/>
      <c r="R10" s="199" t="s">
        <v>128</v>
      </c>
      <c r="S10" s="200">
        <f>+I29</f>
        <v>9</v>
      </c>
      <c r="T10" s="201" t="e">
        <f>+H29</f>
        <v>#NUM!</v>
      </c>
      <c r="U10" s="109" t="e">
        <f t="shared" si="0"/>
        <v>#NUM!</v>
      </c>
      <c r="V10" s="274" t="e">
        <f t="shared" si="1"/>
        <v>#NUM!</v>
      </c>
      <c r="W10" s="90">
        <v>0.08</v>
      </c>
      <c r="X10" s="162" t="e">
        <f>+T10*W10*1.25/100</f>
        <v>#NUM!</v>
      </c>
    </row>
    <row r="11" spans="1:24" ht="15.05" customHeight="1" x14ac:dyDescent="0.3">
      <c r="B11" s="348" t="s">
        <v>181</v>
      </c>
      <c r="C11" s="169"/>
      <c r="D11" s="175" t="s">
        <v>81</v>
      </c>
      <c r="E11" s="170" t="s">
        <v>3</v>
      </c>
      <c r="F11" s="179">
        <v>0</v>
      </c>
      <c r="G11" s="185" t="s">
        <v>133</v>
      </c>
      <c r="H11" s="275">
        <f>IF(F11&gt;102,2,IF(F11&gt;80,1,0))</f>
        <v>0</v>
      </c>
      <c r="I11" s="269">
        <v>2</v>
      </c>
      <c r="J11" s="270"/>
      <c r="K11" s="175" t="s">
        <v>158</v>
      </c>
      <c r="L11" s="178" t="s">
        <v>10</v>
      </c>
      <c r="M11" s="184">
        <v>0</v>
      </c>
      <c r="N11" s="180" t="s">
        <v>94</v>
      </c>
      <c r="O11" s="265">
        <f>IF(M11&gt;=150,1,0)</f>
        <v>0</v>
      </c>
      <c r="P11" s="269">
        <v>1</v>
      </c>
      <c r="Q11" s="270"/>
      <c r="R11" s="199" t="s">
        <v>131</v>
      </c>
      <c r="S11" s="200">
        <f>+I37</f>
        <v>9</v>
      </c>
      <c r="T11" s="201">
        <f>+H37</f>
        <v>1</v>
      </c>
      <c r="U11" s="111">
        <f t="shared" si="0"/>
        <v>0.1111111111111111</v>
      </c>
      <c r="V11" s="274">
        <f t="shared" si="1"/>
        <v>7.9207920792079213E-4</v>
      </c>
      <c r="W11" s="90">
        <v>0.04</v>
      </c>
      <c r="X11" s="162">
        <f>IF(F36&gt;2,(T11*W11*1.3/100),(T11*W11/100))</f>
        <v>4.0000000000000002E-4</v>
      </c>
    </row>
    <row r="12" spans="1:24" ht="15.05" customHeight="1" x14ac:dyDescent="0.3">
      <c r="B12" s="348"/>
      <c r="C12" s="169"/>
      <c r="D12" s="189" t="s">
        <v>146</v>
      </c>
      <c r="E12" s="190" t="s">
        <v>91</v>
      </c>
      <c r="F12" s="196" t="e">
        <f>+F11/(F9*100)</f>
        <v>#DIV/0!</v>
      </c>
      <c r="G12" s="177" t="s">
        <v>99</v>
      </c>
      <c r="H12" s="276" t="e">
        <f>IF(F12&gt;0.63,2.5,IF(F12&gt;0.58,2,IF(F12&gt;0.53,1,IF(F12&gt;0.35,0,IF(F12&lt;0.34,1)))))</f>
        <v>#DIV/0!</v>
      </c>
      <c r="I12" s="269">
        <v>2.5</v>
      </c>
      <c r="J12" s="270"/>
      <c r="K12" s="175" t="s">
        <v>21</v>
      </c>
      <c r="L12" s="178" t="s">
        <v>10</v>
      </c>
      <c r="M12" s="184">
        <v>0</v>
      </c>
      <c r="N12" s="205" t="s">
        <v>161</v>
      </c>
      <c r="O12" s="265">
        <f>IF(M12&gt;144,1,0)</f>
        <v>0</v>
      </c>
      <c r="P12" s="269">
        <v>1</v>
      </c>
      <c r="Q12" s="270"/>
      <c r="R12" s="199" t="s">
        <v>130</v>
      </c>
      <c r="S12" s="200">
        <f>+P19</f>
        <v>14.5</v>
      </c>
      <c r="T12" s="201" t="e">
        <f>+O19</f>
        <v>#DIV/0!</v>
      </c>
      <c r="U12" s="111" t="e">
        <f t="shared" si="0"/>
        <v>#DIV/0!</v>
      </c>
      <c r="V12" s="274" t="e">
        <f t="shared" si="1"/>
        <v>#DIV/0!</v>
      </c>
      <c r="W12" s="90">
        <v>0.3</v>
      </c>
      <c r="X12" s="162" t="e">
        <f>IF(M9&gt;130,(T12*W12*2.6/100),(T12*W12*1.3/100))</f>
        <v>#DIV/0!</v>
      </c>
    </row>
    <row r="13" spans="1:24" ht="15.05" customHeight="1" thickBot="1" x14ac:dyDescent="0.35">
      <c r="B13" s="348"/>
      <c r="C13" s="169"/>
      <c r="D13" s="277" t="s">
        <v>82</v>
      </c>
      <c r="E13" s="207" t="s">
        <v>4</v>
      </c>
      <c r="F13" s="208">
        <v>0</v>
      </c>
      <c r="G13" s="209" t="s">
        <v>140</v>
      </c>
      <c r="H13" s="275">
        <f>IF(F13&gt;21,0.5,0)</f>
        <v>0</v>
      </c>
      <c r="I13" s="269">
        <v>0.5</v>
      </c>
      <c r="J13" s="270"/>
      <c r="K13" s="175" t="s">
        <v>22</v>
      </c>
      <c r="L13" s="178" t="s">
        <v>10</v>
      </c>
      <c r="M13" s="184">
        <v>0</v>
      </c>
      <c r="N13" s="205" t="s">
        <v>98</v>
      </c>
      <c r="O13" s="265">
        <f>IF(M13&lt;95,1,0)</f>
        <v>1</v>
      </c>
      <c r="P13" s="269">
        <v>1</v>
      </c>
      <c r="Q13" s="270"/>
      <c r="R13" s="199" t="s">
        <v>13</v>
      </c>
      <c r="S13" s="200">
        <f>+P24</f>
        <v>3</v>
      </c>
      <c r="T13" s="201">
        <f>+O24</f>
        <v>0</v>
      </c>
      <c r="U13" s="111">
        <f t="shared" si="0"/>
        <v>0</v>
      </c>
      <c r="V13" s="274">
        <f t="shared" si="1"/>
        <v>0</v>
      </c>
      <c r="W13" s="90">
        <v>0.32</v>
      </c>
      <c r="X13" s="162">
        <f>IF(N22&gt;130,(T13*W13*2.4/100),IF(N22&gt;120,(T13*W13*1.2/100),T13*W13/100))</f>
        <v>0</v>
      </c>
    </row>
    <row r="14" spans="1:24" ht="15.05" customHeight="1" thickBot="1" x14ac:dyDescent="0.3">
      <c r="A14" s="99"/>
      <c r="B14" s="348"/>
      <c r="C14" s="99"/>
      <c r="D14" s="99"/>
      <c r="E14" s="99"/>
      <c r="F14" s="99"/>
      <c r="G14" s="99"/>
      <c r="H14" s="112" t="e">
        <f>SUM(H6:H13)</f>
        <v>#DIV/0!</v>
      </c>
      <c r="I14" s="113">
        <f>SUM(I11:I13)</f>
        <v>5</v>
      </c>
      <c r="J14" s="147"/>
      <c r="K14" s="114" t="s">
        <v>166</v>
      </c>
      <c r="L14" s="243" t="s">
        <v>10</v>
      </c>
      <c r="M14" s="212">
        <v>0</v>
      </c>
      <c r="N14" s="115" t="s">
        <v>95</v>
      </c>
      <c r="O14" s="105">
        <f>IF(M14&gt;=30,2,0)</f>
        <v>0</v>
      </c>
      <c r="P14" s="106">
        <v>2</v>
      </c>
      <c r="Q14" s="151"/>
      <c r="R14" s="93" t="s">
        <v>61</v>
      </c>
      <c r="S14" s="94">
        <f>+P36</f>
        <v>6</v>
      </c>
      <c r="T14" s="95" t="e">
        <f>+O36</f>
        <v>#DIV/0!</v>
      </c>
      <c r="U14" s="96" t="e">
        <f t="shared" si="0"/>
        <v>#DIV/0!</v>
      </c>
      <c r="V14" s="160" t="e">
        <f t="shared" si="1"/>
        <v>#DIV/0!</v>
      </c>
      <c r="W14" s="116">
        <v>0.1</v>
      </c>
      <c r="X14" s="163" t="e">
        <f>IF(M31&lt;60,T14*W14*1.4/100,T14*W14/100)</f>
        <v>#DIV/0!</v>
      </c>
    </row>
    <row r="15" spans="1:24" ht="15.05" customHeight="1" thickBot="1" x14ac:dyDescent="0.35">
      <c r="B15" s="348"/>
      <c r="C15" s="169"/>
      <c r="D15" s="329" t="s">
        <v>5</v>
      </c>
      <c r="E15" s="330"/>
      <c r="F15" s="330"/>
      <c r="G15" s="331"/>
      <c r="I15" s="264"/>
      <c r="J15" s="4"/>
      <c r="K15" s="197" t="s">
        <v>147</v>
      </c>
      <c r="L15" s="278"/>
      <c r="M15" s="219" t="e">
        <f>+M6/M7</f>
        <v>#DIV/0!</v>
      </c>
      <c r="N15" s="279" t="s">
        <v>100</v>
      </c>
      <c r="O15" s="265" t="e">
        <f>IF(M15&gt;=4.5,1,0)</f>
        <v>#DIV/0!</v>
      </c>
      <c r="P15" s="280">
        <v>1</v>
      </c>
      <c r="Q15" s="281"/>
      <c r="S15" s="282">
        <f>SUM(S8:S14)</f>
        <v>50.5</v>
      </c>
      <c r="U15" s="97"/>
      <c r="V15" s="283" t="e">
        <f>+SUM(V8:V14)</f>
        <v>#DIV/0!</v>
      </c>
      <c r="W15" s="284">
        <f>SUM(W8:W14)</f>
        <v>0.99999999999999989</v>
      </c>
      <c r="X15" s="63" t="e">
        <f>SUM(X8:X14)</f>
        <v>#DIV/0!</v>
      </c>
    </row>
    <row r="16" spans="1:24" ht="15.05" customHeight="1" thickBot="1" x14ac:dyDescent="0.35">
      <c r="B16" s="348"/>
      <c r="C16" s="169"/>
      <c r="D16" s="45" t="s">
        <v>18</v>
      </c>
      <c r="E16" s="46" t="s">
        <v>6</v>
      </c>
      <c r="F16" s="46" t="s">
        <v>7</v>
      </c>
      <c r="G16" s="47" t="s">
        <v>90</v>
      </c>
      <c r="I16" s="264"/>
      <c r="J16" s="4"/>
      <c r="K16" s="197" t="s">
        <v>159</v>
      </c>
      <c r="L16" s="190"/>
      <c r="M16" s="221" t="e">
        <f>+M11/M7</f>
        <v>#DIV/0!</v>
      </c>
      <c r="N16" s="185" t="s">
        <v>102</v>
      </c>
      <c r="O16" s="285" t="e">
        <f>IF(M16&gt;=3,1,0)</f>
        <v>#DIV/0!</v>
      </c>
      <c r="P16" s="280">
        <v>1</v>
      </c>
      <c r="Q16" s="281"/>
      <c r="R16" s="27"/>
      <c r="S16" s="27"/>
      <c r="T16" s="27"/>
      <c r="U16" s="117"/>
      <c r="V16" s="222" t="e">
        <f>IF(V15&gt;15%,"MUY ALTO",IF(V15&lt;=15%,"ALTO",IF(V15&gt;5%,"MODERADO",IF(V15&lt;3%,"BAJO"))))</f>
        <v>#DIV/0!</v>
      </c>
      <c r="W16" s="430"/>
      <c r="X16" s="222" t="e">
        <f>IF(X15&gt;7.5%,"MUY ALTO",IF(X15&gt;5%,"ALTO",IF(X15&gt;3%,"MODERADO",IF(X15&lt;3%,"BAJO"))))</f>
        <v>#DIV/0!</v>
      </c>
    </row>
    <row r="17" spans="1:24" ht="15.05" customHeight="1" x14ac:dyDescent="0.3">
      <c r="B17" s="348"/>
      <c r="C17" s="169"/>
      <c r="D17" s="175" t="s">
        <v>8</v>
      </c>
      <c r="E17" s="178" t="s">
        <v>9</v>
      </c>
      <c r="F17" s="203">
        <v>0</v>
      </c>
      <c r="G17" s="205" t="s">
        <v>141</v>
      </c>
      <c r="H17" s="275">
        <f>IF(F17&gt;6.4,2,IF(F17&gt;=5.7,1,0))</f>
        <v>0</v>
      </c>
      <c r="I17" s="269">
        <v>2</v>
      </c>
      <c r="J17" s="270"/>
      <c r="K17" s="286" t="s">
        <v>160</v>
      </c>
      <c r="L17" s="278"/>
      <c r="M17" s="223" t="e">
        <f>+LOG(M16)</f>
        <v>#DIV/0!</v>
      </c>
      <c r="N17" s="185" t="s">
        <v>103</v>
      </c>
      <c r="O17" s="285" t="e">
        <f>IF(M17&gt;=0.11,2,0)</f>
        <v>#DIV/0!</v>
      </c>
      <c r="P17" s="280">
        <v>1</v>
      </c>
      <c r="Q17" s="281"/>
      <c r="U17" s="97"/>
    </row>
    <row r="18" spans="1:24" ht="15.05" customHeight="1" thickBot="1" x14ac:dyDescent="0.3">
      <c r="A18" s="99"/>
      <c r="B18" s="99"/>
      <c r="C18" s="99"/>
      <c r="D18" s="103" t="s">
        <v>192</v>
      </c>
      <c r="E18" s="118" t="s">
        <v>10</v>
      </c>
      <c r="F18" s="119">
        <v>0</v>
      </c>
      <c r="G18" s="104" t="s">
        <v>134</v>
      </c>
      <c r="H18" s="120"/>
      <c r="I18" s="121"/>
      <c r="J18" s="148"/>
      <c r="K18" s="122" t="s">
        <v>104</v>
      </c>
      <c r="L18" s="287"/>
      <c r="M18" s="228" t="e">
        <f>+M12/M13</f>
        <v>#DIV/0!</v>
      </c>
      <c r="N18" s="123" t="s">
        <v>162</v>
      </c>
      <c r="O18" s="124" t="e">
        <f>IF(M18&gt;=0.9,1,0)</f>
        <v>#DIV/0!</v>
      </c>
      <c r="P18" s="125">
        <v>2</v>
      </c>
      <c r="Q18" s="155"/>
      <c r="R18" s="99"/>
      <c r="S18" s="99"/>
      <c r="T18" s="99"/>
      <c r="U18" s="97"/>
      <c r="V18" s="99"/>
      <c r="W18" s="99"/>
      <c r="X18" s="99"/>
    </row>
    <row r="19" spans="1:24" ht="15.05" customHeight="1" thickBot="1" x14ac:dyDescent="0.3">
      <c r="A19" s="126"/>
      <c r="B19" s="126"/>
      <c r="C19" s="126"/>
      <c r="D19" s="288" t="s">
        <v>188</v>
      </c>
      <c r="E19" s="289" t="s">
        <v>10</v>
      </c>
      <c r="F19" s="290">
        <f>+(28.7*F17)-46.7</f>
        <v>-46.7</v>
      </c>
      <c r="G19" s="165" t="s">
        <v>106</v>
      </c>
      <c r="H19" s="127"/>
      <c r="I19" s="128"/>
      <c r="J19" s="149"/>
      <c r="K19" s="126"/>
      <c r="N19" s="126"/>
      <c r="O19" s="129" t="e">
        <f>SUM(O6:O18)</f>
        <v>#DIV/0!</v>
      </c>
      <c r="P19" s="130">
        <f>SUM(P6:P18)</f>
        <v>14.5</v>
      </c>
      <c r="Q19" s="156"/>
      <c r="R19" s="126"/>
      <c r="S19" s="126"/>
      <c r="T19" s="126"/>
      <c r="U19" s="97"/>
      <c r="V19" s="126"/>
      <c r="W19" s="126"/>
      <c r="X19" s="126"/>
    </row>
    <row r="20" spans="1:24" ht="15.05" customHeight="1" thickBot="1" x14ac:dyDescent="0.35">
      <c r="C20" s="169"/>
      <c r="D20" s="232" t="s">
        <v>89</v>
      </c>
      <c r="E20" s="233" t="s">
        <v>12</v>
      </c>
      <c r="F20" s="234">
        <v>0</v>
      </c>
      <c r="G20" s="235" t="s">
        <v>145</v>
      </c>
      <c r="H20" s="275">
        <f>IF(F20&gt;25,2,IF(F20&gt;15,1,0))</f>
        <v>0</v>
      </c>
      <c r="I20" s="269">
        <v>2</v>
      </c>
      <c r="J20" s="270"/>
      <c r="K20" s="329" t="s">
        <v>13</v>
      </c>
      <c r="L20" s="330"/>
      <c r="M20" s="330"/>
      <c r="N20" s="331"/>
      <c r="O20" s="5"/>
      <c r="P20" s="264"/>
      <c r="Q20" s="4"/>
      <c r="U20" s="97"/>
    </row>
    <row r="21" spans="1:24" ht="15.05" customHeight="1" thickBot="1" x14ac:dyDescent="0.3">
      <c r="A21" s="131"/>
      <c r="B21" s="131"/>
      <c r="C21" s="131"/>
      <c r="D21" s="131"/>
      <c r="E21" s="131"/>
      <c r="F21" s="131"/>
      <c r="G21" s="131"/>
      <c r="H21" s="132">
        <f>SUM(H17:H20)</f>
        <v>0</v>
      </c>
      <c r="I21" s="133">
        <f>SUM(I17:I20)</f>
        <v>4</v>
      </c>
      <c r="J21" s="150"/>
      <c r="K21" s="134" t="s">
        <v>18</v>
      </c>
      <c r="L21" s="429" t="s">
        <v>6</v>
      </c>
      <c r="M21" s="429" t="s">
        <v>7</v>
      </c>
      <c r="N21" s="135" t="s">
        <v>90</v>
      </c>
      <c r="O21" s="131"/>
      <c r="P21" s="133"/>
      <c r="Q21" s="150"/>
      <c r="R21" s="131"/>
      <c r="S21" s="131"/>
      <c r="T21" s="131"/>
      <c r="U21" s="131"/>
      <c r="V21" s="131"/>
      <c r="W21" s="131"/>
      <c r="X21" s="131"/>
    </row>
    <row r="22" spans="1:24" ht="15.05" customHeight="1" thickBot="1" x14ac:dyDescent="0.35">
      <c r="C22" s="169"/>
      <c r="D22" s="329" t="s">
        <v>107</v>
      </c>
      <c r="E22" s="330"/>
      <c r="F22" s="330"/>
      <c r="G22" s="331"/>
      <c r="H22" s="291"/>
      <c r="I22" s="292"/>
      <c r="J22" s="293"/>
      <c r="K22" s="183" t="s">
        <v>14</v>
      </c>
      <c r="L22" s="170" t="s">
        <v>15</v>
      </c>
      <c r="M22" s="294">
        <v>0</v>
      </c>
      <c r="N22" s="177" t="s">
        <v>163</v>
      </c>
      <c r="O22" s="265">
        <f>IF(M22&gt;140,2,IF(M22&gt;130,1,0))</f>
        <v>0</v>
      </c>
      <c r="P22" s="269">
        <v>2</v>
      </c>
      <c r="Q22" s="270"/>
      <c r="U22" s="97"/>
    </row>
    <row r="23" spans="1:24" ht="15.05" customHeight="1" thickBot="1" x14ac:dyDescent="0.35">
      <c r="C23" s="169"/>
      <c r="D23" s="45" t="s">
        <v>18</v>
      </c>
      <c r="E23" s="46" t="s">
        <v>6</v>
      </c>
      <c r="F23" s="46" t="s">
        <v>7</v>
      </c>
      <c r="G23" s="47" t="s">
        <v>90</v>
      </c>
      <c r="H23" s="291"/>
      <c r="I23" s="292"/>
      <c r="J23" s="293"/>
      <c r="K23" s="206" t="s">
        <v>16</v>
      </c>
      <c r="L23" s="207" t="s">
        <v>15</v>
      </c>
      <c r="M23" s="295">
        <v>0</v>
      </c>
      <c r="N23" s="209" t="s">
        <v>133</v>
      </c>
      <c r="O23" s="265">
        <f>IF(M23&gt;90,1,0)</f>
        <v>0</v>
      </c>
      <c r="P23" s="269">
        <v>1</v>
      </c>
      <c r="Q23" s="270"/>
      <c r="U23" s="97"/>
    </row>
    <row r="24" spans="1:24" ht="15.05" customHeight="1" thickBot="1" x14ac:dyDescent="0.35">
      <c r="C24" s="169"/>
      <c r="D24" s="197" t="s">
        <v>109</v>
      </c>
      <c r="E24" s="278"/>
      <c r="F24" s="223">
        <f>(F18*F20)/405</f>
        <v>0</v>
      </c>
      <c r="G24" s="185" t="s">
        <v>142</v>
      </c>
      <c r="H24" s="275">
        <f>IF(F24&gt;2.5,2,IF(F24&gt;1.96,1,0))</f>
        <v>0</v>
      </c>
      <c r="I24" s="269">
        <v>2</v>
      </c>
      <c r="J24" s="270"/>
      <c r="K24" s="170"/>
      <c r="L24" s="170"/>
      <c r="M24" s="170"/>
      <c r="N24" s="170"/>
      <c r="O24" s="296">
        <f>SUM(O22:O23)</f>
        <v>0</v>
      </c>
      <c r="P24" s="297">
        <f>+SUM(P22:P23)</f>
        <v>3</v>
      </c>
      <c r="Q24" s="298"/>
      <c r="U24" s="97"/>
    </row>
    <row r="25" spans="1:24" ht="15.05" customHeight="1" thickBot="1" x14ac:dyDescent="0.35">
      <c r="C25" s="169"/>
      <c r="D25" s="299" t="s">
        <v>114</v>
      </c>
      <c r="E25" s="300"/>
      <c r="F25" s="223" t="e">
        <f>1/(LOG(F20)+LOG(F18))</f>
        <v>#NUM!</v>
      </c>
      <c r="G25" s="301" t="s">
        <v>115</v>
      </c>
      <c r="H25" s="275" t="e">
        <f>IF(F25&lt;0.33,1,0)</f>
        <v>#NUM!</v>
      </c>
      <c r="I25" s="269">
        <v>1</v>
      </c>
      <c r="J25" s="270"/>
      <c r="K25" s="329" t="s">
        <v>61</v>
      </c>
      <c r="L25" s="330"/>
      <c r="M25" s="330"/>
      <c r="N25" s="331"/>
      <c r="O25" s="302"/>
      <c r="P25" s="303"/>
      <c r="Q25" s="304"/>
      <c r="U25" s="97"/>
    </row>
    <row r="26" spans="1:24" ht="15.05" customHeight="1" thickBot="1" x14ac:dyDescent="0.3">
      <c r="D26" s="189" t="s">
        <v>167</v>
      </c>
      <c r="E26" s="305"/>
      <c r="F26" s="203" t="e">
        <v>#NUM!</v>
      </c>
      <c r="G26" s="180" t="s">
        <v>95</v>
      </c>
      <c r="H26" s="275" t="e">
        <f>IF(F26&gt;60,1,IF(F26&gt;30,0.5,0))</f>
        <v>#NUM!</v>
      </c>
      <c r="I26" s="269">
        <v>1</v>
      </c>
      <c r="J26" s="270"/>
      <c r="K26" s="326" t="s">
        <v>62</v>
      </c>
      <c r="L26" s="327"/>
      <c r="M26" s="327"/>
      <c r="N26" s="328"/>
      <c r="O26" s="302"/>
      <c r="P26" s="269"/>
      <c r="Q26" s="270"/>
      <c r="U26" s="97"/>
    </row>
    <row r="27" spans="1:24" ht="15.05" customHeight="1" x14ac:dyDescent="0.25">
      <c r="D27" s="189" t="s">
        <v>137</v>
      </c>
      <c r="E27" s="300"/>
      <c r="F27" s="223" t="e">
        <f>LN(M11*F18)/2</f>
        <v>#NUM!</v>
      </c>
      <c r="G27" s="177" t="s">
        <v>144</v>
      </c>
      <c r="H27" s="275" t="e">
        <f>IF(F27&gt;4.68,2,IF(F27&gt;4.5,1,0))</f>
        <v>#NUM!</v>
      </c>
      <c r="I27" s="269">
        <v>2</v>
      </c>
      <c r="J27" s="270"/>
      <c r="K27" s="45" t="s">
        <v>18</v>
      </c>
      <c r="L27" s="46" t="s">
        <v>6</v>
      </c>
      <c r="M27" s="429" t="s">
        <v>7</v>
      </c>
      <c r="N27" s="47" t="s">
        <v>90</v>
      </c>
      <c r="O27" s="302"/>
      <c r="P27" s="269"/>
      <c r="Q27" s="270"/>
      <c r="U27" s="97"/>
    </row>
    <row r="28" spans="1:24" ht="15.05" customHeight="1" thickBot="1" x14ac:dyDescent="0.3">
      <c r="D28" s="240" t="s">
        <v>168</v>
      </c>
      <c r="E28" s="306"/>
      <c r="F28" s="307" t="e">
        <f>+(F11/(36.68+(1.89*F10))*((M11*0.01129)/0.81)*(1.52*39/M7))</f>
        <v>#DIV/0!</v>
      </c>
      <c r="G28" s="242" t="str">
        <f>IF(F6&gt;66,"&lt;2,00",IF(F6&gt;=52,"&lt;1,93",IF(F6&gt;=43,"&lt;1,92",IF(F6&gt;=30,"&lt;2,23","&lt;2,52"))))</f>
        <v>&lt;2,52</v>
      </c>
      <c r="H28" s="275" t="e">
        <f>+IF(F28&gt;3,3,IF(F28&gt;2,2,IF(F28&gt;1.92,0.5,0)))</f>
        <v>#DIV/0!</v>
      </c>
      <c r="I28" s="269">
        <v>3</v>
      </c>
      <c r="J28" s="270"/>
      <c r="K28" s="175" t="s">
        <v>85</v>
      </c>
      <c r="L28" s="170" t="s">
        <v>10</v>
      </c>
      <c r="M28" s="308">
        <v>0</v>
      </c>
      <c r="N28" s="177" t="s">
        <v>135</v>
      </c>
      <c r="O28" s="265"/>
      <c r="P28" s="269"/>
      <c r="Q28" s="270"/>
      <c r="U28" s="97"/>
    </row>
    <row r="29" spans="1:24" ht="15.05" customHeight="1" thickBot="1" x14ac:dyDescent="0.3">
      <c r="A29" s="126"/>
      <c r="B29" s="126"/>
      <c r="C29" s="126"/>
      <c r="D29" s="126"/>
      <c r="E29" s="126"/>
      <c r="F29" s="126"/>
      <c r="G29" s="126"/>
      <c r="H29" s="127" t="e">
        <f>SUM(H24:H27)</f>
        <v>#NUM!</v>
      </c>
      <c r="I29" s="128">
        <f>SUM(I24:I28)</f>
        <v>9</v>
      </c>
      <c r="J29" s="149"/>
      <c r="K29" s="309" t="s">
        <v>183</v>
      </c>
      <c r="L29" s="170" t="s">
        <v>58</v>
      </c>
      <c r="M29" s="310">
        <v>0</v>
      </c>
      <c r="N29" s="165" t="s">
        <v>116</v>
      </c>
      <c r="O29" s="127">
        <f>IF(M29&lt;135,1,IF(M29&gt;145,1,0))</f>
        <v>1</v>
      </c>
      <c r="P29" s="128">
        <v>1</v>
      </c>
      <c r="Q29" s="149"/>
      <c r="R29" s="126"/>
      <c r="S29" s="126"/>
      <c r="T29" s="126"/>
      <c r="U29" s="97"/>
      <c r="V29" s="126"/>
      <c r="W29" s="126"/>
      <c r="X29" s="126"/>
    </row>
    <row r="30" spans="1:24" ht="15.05" customHeight="1" thickBot="1" x14ac:dyDescent="0.3">
      <c r="D30" s="329" t="s">
        <v>108</v>
      </c>
      <c r="E30" s="330"/>
      <c r="F30" s="330"/>
      <c r="G30" s="331"/>
      <c r="H30" s="275"/>
      <c r="I30" s="266"/>
      <c r="J30" s="267"/>
      <c r="K30" s="192" t="s">
        <v>184</v>
      </c>
      <c r="L30" s="243" t="s">
        <v>58</v>
      </c>
      <c r="M30" s="311">
        <v>0</v>
      </c>
      <c r="N30" s="244" t="s">
        <v>118</v>
      </c>
      <c r="O30" s="265">
        <f>IF(M30&lt;3.5,1,IF(M30&gt;5,1,0))</f>
        <v>1</v>
      </c>
      <c r="P30" s="269">
        <v>1</v>
      </c>
      <c r="Q30" s="270"/>
      <c r="U30" s="97"/>
    </row>
    <row r="31" spans="1:24" ht="15.05" customHeight="1" thickBot="1" x14ac:dyDescent="0.3">
      <c r="D31" s="45" t="s">
        <v>18</v>
      </c>
      <c r="E31" s="46" t="s">
        <v>6</v>
      </c>
      <c r="F31" s="46" t="s">
        <v>7</v>
      </c>
      <c r="G31" s="47" t="s">
        <v>90</v>
      </c>
      <c r="H31" s="275"/>
      <c r="I31" s="266"/>
      <c r="J31" s="267"/>
      <c r="K31" s="245" t="s">
        <v>201</v>
      </c>
      <c r="L31" s="246" t="s">
        <v>120</v>
      </c>
      <c r="M31" s="247" t="e">
        <f>+IF(M28&lt;=0.7,142*((M28/0.7)^-0.241)*(0.9938^F6)*1.012,IF(M28&gt;0.7,142*((M28/0.7)^-1.2)*(0.9938^F6)*1.012))</f>
        <v>#DIV/0!</v>
      </c>
      <c r="N31" s="248" t="b">
        <f>+IF(F6&gt;70,75,IF(F6&gt;=60,85,IF(F6&gt;50,93,IF(F6&gt;=40,99,IF(F6&gt;=30,107,IF(F6&gt;=20,116))))))</f>
        <v>0</v>
      </c>
      <c r="O31" s="265" t="e">
        <f>IF(M31&lt;N31,3,0)</f>
        <v>#DIV/0!</v>
      </c>
      <c r="P31" s="269">
        <v>3</v>
      </c>
      <c r="Q31" s="270"/>
      <c r="U31" s="97"/>
    </row>
    <row r="32" spans="1:24" ht="15.05" customHeight="1" thickBot="1" x14ac:dyDescent="0.3">
      <c r="D32" s="175" t="s">
        <v>83</v>
      </c>
      <c r="E32" s="178" t="s">
        <v>58</v>
      </c>
      <c r="F32" s="249">
        <v>0</v>
      </c>
      <c r="G32" s="180" t="s">
        <v>110</v>
      </c>
      <c r="H32" s="276">
        <f>IF(F32&gt;15,1,0)</f>
        <v>0</v>
      </c>
      <c r="I32" s="312">
        <v>1</v>
      </c>
      <c r="J32" s="313"/>
      <c r="K32" s="326" t="s">
        <v>87</v>
      </c>
      <c r="L32" s="327"/>
      <c r="M32" s="327"/>
      <c r="N32" s="328"/>
      <c r="O32" s="302"/>
      <c r="P32" s="269"/>
      <c r="Q32" s="270"/>
      <c r="U32" s="97"/>
    </row>
    <row r="33" spans="1:24" ht="15.05" customHeight="1" x14ac:dyDescent="0.25">
      <c r="D33" s="175" t="s">
        <v>179</v>
      </c>
      <c r="E33" s="178" t="s">
        <v>59</v>
      </c>
      <c r="F33" s="224">
        <v>0</v>
      </c>
      <c r="G33" s="180" t="s">
        <v>92</v>
      </c>
      <c r="H33" s="291">
        <f>IF(F33&gt;=200,1,0)</f>
        <v>0</v>
      </c>
      <c r="I33" s="314">
        <v>1</v>
      </c>
      <c r="J33" s="315"/>
      <c r="K33" s="175" t="s">
        <v>86</v>
      </c>
      <c r="L33" s="178" t="s">
        <v>60</v>
      </c>
      <c r="M33" s="316">
        <v>0</v>
      </c>
      <c r="N33" s="180" t="s">
        <v>121</v>
      </c>
      <c r="O33" s="265"/>
      <c r="P33" s="269"/>
      <c r="Q33" s="270"/>
      <c r="U33" s="97"/>
    </row>
    <row r="34" spans="1:24" ht="15.05" customHeight="1" x14ac:dyDescent="0.25">
      <c r="D34" s="317" t="s">
        <v>112</v>
      </c>
      <c r="E34" s="170" t="s">
        <v>60</v>
      </c>
      <c r="F34" s="254">
        <v>0</v>
      </c>
      <c r="G34" s="185" t="s">
        <v>113</v>
      </c>
      <c r="H34" s="275">
        <f>IF(F34&gt;10,1,0)</f>
        <v>0</v>
      </c>
      <c r="I34" s="269">
        <v>1</v>
      </c>
      <c r="J34" s="270"/>
      <c r="K34" s="175" t="s">
        <v>85</v>
      </c>
      <c r="L34" s="178" t="s">
        <v>10</v>
      </c>
      <c r="M34" s="318">
        <v>0</v>
      </c>
      <c r="N34" s="180" t="s">
        <v>136</v>
      </c>
      <c r="O34" s="265"/>
      <c r="P34" s="269"/>
      <c r="Q34" s="270"/>
      <c r="U34" s="97"/>
    </row>
    <row r="35" spans="1:24" ht="15.05" customHeight="1" thickBot="1" x14ac:dyDescent="0.3">
      <c r="A35" s="99"/>
      <c r="B35" s="99"/>
      <c r="C35" s="99"/>
      <c r="D35" s="103" t="s">
        <v>180</v>
      </c>
      <c r="E35" s="136" t="s">
        <v>10</v>
      </c>
      <c r="F35" s="319">
        <v>0</v>
      </c>
      <c r="G35" s="101" t="s">
        <v>165</v>
      </c>
      <c r="H35" s="105">
        <f>IF(F35&gt;400,3,IF(F35&lt;200,1,0))</f>
        <v>1</v>
      </c>
      <c r="I35" s="106">
        <v>3</v>
      </c>
      <c r="J35" s="151"/>
      <c r="K35" s="137" t="s">
        <v>164</v>
      </c>
      <c r="L35" s="257" t="s">
        <v>123</v>
      </c>
      <c r="M35" s="228" t="e">
        <f>+M33*100/M34</f>
        <v>#DIV/0!</v>
      </c>
      <c r="N35" s="138" t="s">
        <v>95</v>
      </c>
      <c r="O35" s="105" t="e">
        <f>+IF(M35&gt;20,1,0)</f>
        <v>#DIV/0!</v>
      </c>
      <c r="P35" s="106">
        <v>1</v>
      </c>
      <c r="Q35" s="151"/>
      <c r="R35" s="99"/>
      <c r="S35" s="99"/>
      <c r="T35" s="99"/>
      <c r="U35" s="97"/>
      <c r="V35" s="99"/>
      <c r="W35" s="99"/>
      <c r="X35" s="99"/>
    </row>
    <row r="36" spans="1:24" ht="15.05" customHeight="1" thickBot="1" x14ac:dyDescent="0.3">
      <c r="A36" s="126"/>
      <c r="B36" s="126"/>
      <c r="C36" s="126"/>
      <c r="D36" s="139" t="s">
        <v>65</v>
      </c>
      <c r="E36" s="140" t="s">
        <v>60</v>
      </c>
      <c r="F36" s="320">
        <v>0</v>
      </c>
      <c r="G36" s="164" t="s">
        <v>119</v>
      </c>
      <c r="H36" s="141">
        <f>IF(F36&gt;3,3,IF(F36&gt;2,2,IF(F36&gt;1,1,0)))</f>
        <v>0</v>
      </c>
      <c r="I36" s="142">
        <v>3</v>
      </c>
      <c r="J36" s="152"/>
      <c r="K36" s="126"/>
      <c r="N36" s="126"/>
      <c r="O36" s="127" t="e">
        <f>SUM(O28:O35)</f>
        <v>#DIV/0!</v>
      </c>
      <c r="P36" s="128">
        <f>+SUM(P26:P35)</f>
        <v>6</v>
      </c>
      <c r="Q36" s="149"/>
      <c r="R36" s="126"/>
      <c r="S36" s="126"/>
      <c r="T36" s="126"/>
      <c r="U36" s="97"/>
      <c r="V36" s="126"/>
      <c r="W36" s="126"/>
      <c r="X36" s="126"/>
    </row>
    <row r="37" spans="1:24" ht="15.05" customHeight="1" x14ac:dyDescent="0.25">
      <c r="A37" s="131"/>
      <c r="B37" s="131"/>
      <c r="C37" s="131"/>
      <c r="D37" s="131"/>
      <c r="E37" s="131"/>
      <c r="F37" s="131"/>
      <c r="G37" s="131"/>
      <c r="H37" s="143">
        <f>SUM(H32:H36)</f>
        <v>1</v>
      </c>
      <c r="I37" s="144">
        <f>SUM(I32:I36)</f>
        <v>9</v>
      </c>
      <c r="J37" s="153"/>
      <c r="K37" s="131"/>
      <c r="N37" s="131"/>
      <c r="O37" s="131"/>
      <c r="P37" s="131"/>
      <c r="Q37" s="157"/>
      <c r="R37" s="131"/>
      <c r="S37" s="131"/>
      <c r="T37" s="131"/>
      <c r="U37" s="131"/>
      <c r="V37" s="131"/>
      <c r="W37" s="131"/>
      <c r="X37" s="131"/>
    </row>
    <row r="38" spans="1:24" ht="15.05" customHeight="1" x14ac:dyDescent="0.25">
      <c r="J38" s="3"/>
      <c r="Q38" s="3"/>
    </row>
    <row r="39" spans="1:24" ht="15.05" customHeight="1" x14ac:dyDescent="0.25"/>
    <row r="40" spans="1:24" x14ac:dyDescent="0.25"/>
    <row r="41" spans="1:24" x14ac:dyDescent="0.25"/>
    <row r="42" spans="1:24" x14ac:dyDescent="0.25"/>
    <row r="43" spans="1:24" x14ac:dyDescent="0.25"/>
    <row r="44" spans="1:24" x14ac:dyDescent="0.25"/>
  </sheetData>
  <sheetProtection algorithmName="SHA-512" hashValue="mccMDxVpmiYLKz+Izutf8CvJKF/hLF70zZPlnApGYY6eOHfp0Nt6ngJD2NDTUMms6Zi9ZAwrOQxZOL7N1nWIwA==" saltValue="/dL5lNU9ctKnXWNN+5oRZQ==" spinCount="100000" sheet="1" objects="1" scenarios="1" selectLockedCells="1"/>
  <mergeCells count="17">
    <mergeCell ref="K32:N32"/>
    <mergeCell ref="R4:X4"/>
    <mergeCell ref="R5:R7"/>
    <mergeCell ref="T5:U6"/>
    <mergeCell ref="K4:N4"/>
    <mergeCell ref="K25:N25"/>
    <mergeCell ref="V5:V6"/>
    <mergeCell ref="X5:X6"/>
    <mergeCell ref="K1:N2"/>
    <mergeCell ref="D30:G30"/>
    <mergeCell ref="K20:N20"/>
    <mergeCell ref="B4:B10"/>
    <mergeCell ref="D4:G4"/>
    <mergeCell ref="B11:B17"/>
    <mergeCell ref="D15:G15"/>
    <mergeCell ref="D22:G22"/>
    <mergeCell ref="K26:N26"/>
  </mergeCells>
  <conditionalFormatting sqref="F7">
    <cfRule type="expression" dxfId="58" priority="34">
      <formula>$F$7&gt;$F$8</formula>
    </cfRule>
  </conditionalFormatting>
  <conditionalFormatting sqref="F11">
    <cfRule type="cellIs" dxfId="57" priority="57" operator="between">
      <formula>80</formula>
      <formula>102</formula>
    </cfRule>
    <cfRule type="cellIs" dxfId="56" priority="59" operator="greaterThanOrEqual">
      <formula>102</formula>
    </cfRule>
  </conditionalFormatting>
  <conditionalFormatting sqref="F12">
    <cfRule type="cellIs" dxfId="55" priority="49" operator="greaterThan">
      <formula>0.52</formula>
    </cfRule>
  </conditionalFormatting>
  <conditionalFormatting sqref="F13">
    <cfRule type="cellIs" dxfId="54" priority="58" operator="greaterThanOrEqual">
      <formula>26</formula>
    </cfRule>
  </conditionalFormatting>
  <conditionalFormatting sqref="F17">
    <cfRule type="cellIs" dxfId="53" priority="31" operator="between">
      <formula>5.7</formula>
      <formula>6.4</formula>
    </cfRule>
    <cfRule type="cellIs" dxfId="52" priority="32" stopIfTrue="1" operator="greaterThan">
      <formula>6.4</formula>
    </cfRule>
  </conditionalFormatting>
  <conditionalFormatting sqref="F18">
    <cfRule type="cellIs" dxfId="51" priority="26" operator="lessThan">
      <formula>60</formula>
    </cfRule>
    <cfRule type="cellIs" dxfId="50" priority="27" stopIfTrue="1" operator="between">
      <formula>101</formula>
      <formula>125</formula>
    </cfRule>
    <cfRule type="cellIs" dxfId="49" priority="28" stopIfTrue="1" operator="greaterThanOrEqual">
      <formula>126</formula>
    </cfRule>
  </conditionalFormatting>
  <conditionalFormatting sqref="F19">
    <cfRule type="cellIs" dxfId="48" priority="29" operator="greaterThan">
      <formula>140</formula>
    </cfRule>
    <cfRule type="cellIs" dxfId="47" priority="30" operator="between">
      <formula>115</formula>
      <formula>140</formula>
    </cfRule>
  </conditionalFormatting>
  <conditionalFormatting sqref="F24">
    <cfRule type="cellIs" dxfId="46" priority="25" operator="greaterThanOrEqual">
      <formula>1.99</formula>
    </cfRule>
  </conditionalFormatting>
  <conditionalFormatting sqref="F25">
    <cfRule type="cellIs" dxfId="45" priority="24" operator="lessThan">
      <formula>0.33</formula>
    </cfRule>
  </conditionalFormatting>
  <conditionalFormatting sqref="F26">
    <cfRule type="cellIs" dxfId="44" priority="22" operator="greaterThan">
      <formula>60</formula>
    </cfRule>
    <cfRule type="cellIs" dxfId="43" priority="23" operator="between">
      <formula>30</formula>
      <formula>60</formula>
    </cfRule>
  </conditionalFormatting>
  <conditionalFormatting sqref="F28">
    <cfRule type="cellIs" dxfId="42" priority="19" operator="greaterThan">
      <formula>1.92</formula>
    </cfRule>
  </conditionalFormatting>
  <conditionalFormatting sqref="M6">
    <cfRule type="cellIs" dxfId="41" priority="42" stopIfTrue="1" operator="greaterThan">
      <formula>200</formula>
    </cfRule>
  </conditionalFormatting>
  <conditionalFormatting sqref="M7">
    <cfRule type="cellIs" dxfId="40" priority="38" operator="lessThanOrEqual">
      <formula>40</formula>
    </cfRule>
  </conditionalFormatting>
  <conditionalFormatting sqref="M11">
    <cfRule type="cellIs" dxfId="39" priority="37" operator="greaterThan">
      <formula>150</formula>
    </cfRule>
  </conditionalFormatting>
  <conditionalFormatting sqref="M10">
    <cfRule type="cellIs" dxfId="38" priority="36" operator="greaterThanOrEqual">
      <formula>30</formula>
    </cfRule>
  </conditionalFormatting>
  <conditionalFormatting sqref="M9">
    <cfRule type="cellIs" dxfId="37" priority="33" operator="greaterThanOrEqual">
      <formula>100</formula>
    </cfRule>
  </conditionalFormatting>
  <conditionalFormatting sqref="M12">
    <cfRule type="cellIs" dxfId="36" priority="40" operator="greaterThan">
      <formula>144</formula>
    </cfRule>
  </conditionalFormatting>
  <conditionalFormatting sqref="M13">
    <cfRule type="cellIs" dxfId="35" priority="41" operator="lessThan">
      <formula>94</formula>
    </cfRule>
  </conditionalFormatting>
  <conditionalFormatting sqref="M14">
    <cfRule type="cellIs" dxfId="34" priority="39" operator="greaterThanOrEqual">
      <formula>30</formula>
    </cfRule>
  </conditionalFormatting>
  <conditionalFormatting sqref="M15">
    <cfRule type="cellIs" dxfId="33" priority="53" operator="greaterThan">
      <formula>4.5</formula>
    </cfRule>
  </conditionalFormatting>
  <conditionalFormatting sqref="M16">
    <cfRule type="cellIs" dxfId="32" priority="20" operator="greaterThanOrEqual">
      <formula>3</formula>
    </cfRule>
  </conditionalFormatting>
  <conditionalFormatting sqref="M17">
    <cfRule type="cellIs" dxfId="31" priority="45" operator="greaterThan">
      <formula>0.11</formula>
    </cfRule>
  </conditionalFormatting>
  <conditionalFormatting sqref="M18">
    <cfRule type="cellIs" dxfId="30" priority="52" operator="greaterThanOrEqual">
      <formula>0.9</formula>
    </cfRule>
  </conditionalFormatting>
  <conditionalFormatting sqref="M28">
    <cfRule type="cellIs" dxfId="29" priority="48" operator="greaterThan">
      <formula>1.2</formula>
    </cfRule>
  </conditionalFormatting>
  <conditionalFormatting sqref="M29">
    <cfRule type="cellIs" dxfId="28" priority="46" operator="notBetween">
      <formula>135</formula>
      <formula>145</formula>
    </cfRule>
  </conditionalFormatting>
  <conditionalFormatting sqref="M30">
    <cfRule type="cellIs" dxfId="27" priority="47" operator="notBetween">
      <formula>3.5</formula>
      <formula>5</formula>
    </cfRule>
  </conditionalFormatting>
  <conditionalFormatting sqref="M33">
    <cfRule type="cellIs" dxfId="26" priority="43" operator="greaterThanOrEqual">
      <formula>20</formula>
    </cfRule>
  </conditionalFormatting>
  <conditionalFormatting sqref="M34">
    <cfRule type="cellIs" dxfId="25" priority="44" stopIfTrue="1" operator="notBetween">
      <formula>29</formula>
      <formula>226</formula>
    </cfRule>
  </conditionalFormatting>
  <conditionalFormatting sqref="M35">
    <cfRule type="cellIs" dxfId="24" priority="10" operator="greaterThan">
      <formula>300</formula>
    </cfRule>
    <cfRule type="cellIs" dxfId="23" priority="35" operator="between">
      <formula>30</formula>
      <formula>300</formula>
    </cfRule>
  </conditionalFormatting>
  <conditionalFormatting sqref="F32">
    <cfRule type="cellIs" dxfId="22" priority="55" stopIfTrue="1" operator="greaterThan">
      <formula>15</formula>
    </cfRule>
  </conditionalFormatting>
  <conditionalFormatting sqref="F33">
    <cfRule type="cellIs" dxfId="21" priority="54" stopIfTrue="1" operator="greaterThanOrEqual">
      <formula>200</formula>
    </cfRule>
  </conditionalFormatting>
  <conditionalFormatting sqref="F34">
    <cfRule type="cellIs" dxfId="20" priority="21" operator="greaterThan">
      <formula>10</formula>
    </cfRule>
  </conditionalFormatting>
  <conditionalFormatting sqref="F35">
    <cfRule type="cellIs" dxfId="19" priority="56" stopIfTrue="1" operator="greaterThanOrEqual">
      <formula>350</formula>
    </cfRule>
  </conditionalFormatting>
  <conditionalFormatting sqref="F36">
    <cfRule type="cellIs" dxfId="18" priority="50" stopIfTrue="1" operator="between">
      <formula>1</formula>
      <formula>3</formula>
    </cfRule>
    <cfRule type="cellIs" dxfId="17" priority="51" stopIfTrue="1" operator="greaterThan">
      <formula>3</formula>
    </cfRule>
  </conditionalFormatting>
  <conditionalFormatting sqref="M8">
    <cfRule type="cellIs" dxfId="16" priority="18" operator="greaterThanOrEqual">
      <formula>30</formula>
    </cfRule>
  </conditionalFormatting>
  <conditionalFormatting sqref="F20">
    <cfRule type="cellIs" dxfId="15" priority="1" operator="lessThan">
      <formula>2.6</formula>
    </cfRule>
    <cfRule type="cellIs" dxfId="14" priority="16" operator="greaterThan">
      <formula>25</formula>
    </cfRule>
    <cfRule type="cellIs" dxfId="13" priority="17" stopIfTrue="1" operator="between">
      <formula>10</formula>
      <formula>25</formula>
    </cfRule>
  </conditionalFormatting>
  <conditionalFormatting sqref="M22">
    <cfRule type="cellIs" dxfId="12" priority="12" operator="between">
      <formula>130</formula>
      <formula>139</formula>
    </cfRule>
    <cfRule type="cellIs" dxfId="11" priority="13" operator="between">
      <formula>120</formula>
      <formula>129</formula>
    </cfRule>
    <cfRule type="cellIs" dxfId="10" priority="15" operator="greaterThanOrEqual">
      <formula>140</formula>
    </cfRule>
  </conditionalFormatting>
  <conditionalFormatting sqref="M23">
    <cfRule type="cellIs" dxfId="9" priority="11" operator="between">
      <formula>80</formula>
      <formula>89</formula>
    </cfRule>
    <cfRule type="cellIs" dxfId="8" priority="14" operator="greaterThanOrEqual">
      <formula>90</formula>
    </cfRule>
  </conditionalFormatting>
  <conditionalFormatting sqref="M31">
    <cfRule type="cellIs" dxfId="7" priority="7" operator="between">
      <formula>60</formula>
      <formula>89</formula>
    </cfRule>
    <cfRule type="cellIs" dxfId="6" priority="8" operator="between">
      <formula>15</formula>
      <formula>59</formula>
    </cfRule>
    <cfRule type="cellIs" dxfId="5" priority="9" operator="lessThan">
      <formula>15</formula>
    </cfRule>
  </conditionalFormatting>
  <conditionalFormatting sqref="F10">
    <cfRule type="cellIs" dxfId="4" priority="5" operator="greaterThanOrEqual">
      <formula>30</formula>
    </cfRule>
    <cfRule type="cellIs" dxfId="3" priority="6" operator="between">
      <formula>25</formula>
      <formula>29.9</formula>
    </cfRule>
  </conditionalFormatting>
  <conditionalFormatting sqref="V8:V14">
    <cfRule type="cellIs" dxfId="2" priority="4" operator="greaterThanOrEqual">
      <formula>0.3</formula>
    </cfRule>
  </conditionalFormatting>
  <conditionalFormatting sqref="F27">
    <cfRule type="cellIs" dxfId="1" priority="2" operator="greaterThan">
      <formula>6.8</formula>
    </cfRule>
    <cfRule type="cellIs" dxfId="0" priority="3" operator="between">
      <formula>4.5</formula>
      <formula>6.8</formula>
    </cfRule>
  </conditionalFormatting>
  <hyperlinks>
    <hyperlink ref="B11:B17" location="RESULTADOS!A1" tooltip="VOLVER A RESULTADOS" display="RESULTADOS" xr:uid="{0A0B6EB9-4D11-448F-AA32-C114B3BC257A}"/>
    <hyperlink ref="B4:B10" location="INICIO!A1" tooltip="VOLVER A INICIO" display="INICIO" xr:uid="{4AB18BAF-7159-4E61-B0E3-3BBD7253D40D}"/>
  </hyperlinks>
  <pageMargins left="0.7" right="0.7" top="0.75" bottom="0.75" header="0.3" footer="0.3"/>
  <pageSetup scale="57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S p W L Q u o V O k A A A A 9 g A A A B I A H A B D b 2 5 m a W c v U G F j a 2 F n Z S 5 4 b W w g o h g A K K A U A A A A A A A A A A A A A A A A A A A A A A A A A A A A h Y 8 x D o I w G I W v Q r r T l j p g y E 8 Z j J s k J i T G t S k V G q A Y W i x 3 c / B I X k G M o m 6 O 7 3 v f 8 N 7 9 e o N s 6 t r g o g a r e 5 O i C F M U K C P 7 U p s q R a M 7 h W u U c d g L 2 Y h K B b N s b D L Z M k W 1 c + e E E O 8 9 9 i v c D x V h l E b k m O 8 K W a t O o I + s / 8 u h N t Y J I x X i c H i N 4 Q x H L M Y s j j E F s k D I t f k K b N 7 7 b H 8 g b M b W j Y P i y o b b A s g S g b w / 8 A d Q S w M E F A A C A A g A D E S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E q V g o i k e 4 D g A A A B E A A A A T A B w A R m 9 y b X V s Y X M v U 2 V j d G l v b j E u b S C i G A A o o B Q A A A A A A A A A A A A A A A A A A A A A A A A A A A A r T k 0 u y c z P U w i G 0 I b W A F B L A Q I t A B Q A A g A I A A x E q V i 0 L q F T p A A A A P Y A A A A S A A A A A A A A A A A A A A A A A A A A A A B D b 2 5 m a W c v U G F j a 2 F n Z S 5 4 b W x Q S w E C L Q A U A A I A C A A M R K l Y D 8 r p q 6 Q A A A D p A A A A E w A A A A A A A A A A A A A A A A D w A A A A W 0 N v b n R l b n R f V H l w Z X N d L n h t b F B L A Q I t A B Q A A g A I A A x E q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U d I S O l P a 4 T 5 W p T U W s 0 4 1 i A A A A A A I A A A A A A B B m A A A A A Q A A I A A A A K p E P G C 5 w T S m g K 8 4 1 P A N X y W W n j z r i T 8 K G m 0 j 9 g Q L M Q r T A A A A A A 6 A A A A A A g A A I A A A A G m g l / e B x C + i K 3 A T z r V 3 j w D s 7 q S e J I 1 2 h C 2 e t T 4 l P Z j 7 U A A A A C k b 6 7 0 D A P b k v q I s g e h P o f A s A U c O / 7 w M h S X s d B F o m M o U C 1 v H s f U k X J f A z Y q / D z X Y D j Z r 0 o 0 o 5 7 h T e q n P 0 7 U s 8 F k x 9 7 P 5 a j D c A B N q Z Z c y X 6 L Z Q A A A A A C s o J Q K i U e D y o o X t A U n x f b s o t l Q A 5 t 4 M t a c C M L 6 W r O n C r Q R 0 2 S D R j 6 T S n B 9 T T H 2 Q v o V 3 X 3 v I P 7 N 8 Y 7 K 8 b 8 / s K M = < / D a t a M a s h u p > 
</file>

<file path=customXml/itemProps1.xml><?xml version="1.0" encoding="utf-8"?>
<ds:datastoreItem xmlns:ds="http://schemas.openxmlformats.org/officeDocument/2006/customXml" ds:itemID="{39FAD2A1-F08A-4E4C-A224-526518DBC5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INICIO</vt:lpstr>
      <vt:lpstr>RESULTADOS</vt:lpstr>
      <vt:lpstr>Martin-Hopkins</vt:lpstr>
      <vt:lpstr>HOMBRES</vt:lpstr>
      <vt:lpstr>MUJERES</vt:lpstr>
      <vt:lpstr>HOMBRES!Área_de_impresión</vt:lpstr>
      <vt:lpstr>INICIO!Área_de_impresión</vt:lpstr>
      <vt:lpstr>MUJERES!Área_de_impresión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M. Reina</dc:creator>
  <cp:lastModifiedBy>Juan M. Reina</cp:lastModifiedBy>
  <cp:lastPrinted>2026-06-04T13:51:30Z</cp:lastPrinted>
  <dcterms:created xsi:type="dcterms:W3CDTF">2024-05-08T17:21:27Z</dcterms:created>
  <dcterms:modified xsi:type="dcterms:W3CDTF">2026-06-04T14:36:48Z</dcterms:modified>
</cp:coreProperties>
</file>